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13_ncr:1_{13B5AFCD-7379-4BEB-B437-BF8A62F26765}" xr6:coauthVersionLast="47" xr6:coauthVersionMax="47" xr10:uidLastSave="{00000000-0000-0000-0000-000000000000}"/>
  <bookViews>
    <workbookView xWindow="-120" yWindow="-120" windowWidth="29040" windowHeight="15840" firstSheet="1" activeTab="5" xr2:uid="{00000000-000D-0000-FFFF-FFFF00000000}"/>
  </bookViews>
  <sheets>
    <sheet name="SAŽETAK" sheetId="1" r:id="rId1"/>
    <sheet name=" Račun prihoda i rashoda" sheetId="3" r:id="rId2"/>
    <sheet name="Rashodi prema funkcijskoj k " sheetId="11" r:id="rId3"/>
    <sheet name="Prihodi i rashodi prema izvoru" sheetId="13" r:id="rId4"/>
    <sheet name="Izvještaj po organizacijskoj" sheetId="14" r:id="rId5"/>
    <sheet name="Izvještaj po programskoj" sheetId="15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6" i="15" l="1"/>
  <c r="I11" i="15"/>
  <c r="I9" i="15"/>
  <c r="I21" i="15"/>
  <c r="I20" i="15"/>
  <c r="H19" i="15"/>
  <c r="I19" i="15" s="1"/>
  <c r="F19" i="15"/>
  <c r="I18" i="15"/>
  <c r="I17" i="15"/>
  <c r="I16" i="15"/>
  <c r="I15" i="15"/>
  <c r="I14" i="15"/>
  <c r="I13" i="15"/>
  <c r="I12" i="15"/>
  <c r="I10" i="15"/>
  <c r="I8" i="15"/>
  <c r="I7" i="15"/>
  <c r="F6" i="15"/>
  <c r="I8" i="14"/>
  <c r="I7" i="14"/>
  <c r="C19" i="11"/>
  <c r="C17" i="11"/>
  <c r="G19" i="11"/>
  <c r="C9" i="11"/>
  <c r="C18" i="11"/>
  <c r="G18" i="11" s="1"/>
  <c r="C8" i="11"/>
  <c r="G20" i="11"/>
  <c r="G16" i="11"/>
  <c r="G21" i="11"/>
  <c r="G22" i="11"/>
  <c r="G23" i="11"/>
  <c r="G24" i="11"/>
  <c r="G25" i="11"/>
  <c r="G26" i="11"/>
  <c r="G11" i="11"/>
  <c r="G12" i="11"/>
  <c r="G13" i="11"/>
  <c r="G14" i="11"/>
  <c r="G15" i="11"/>
  <c r="E19" i="11"/>
  <c r="E18" i="11"/>
  <c r="E17" i="11" s="1"/>
  <c r="D17" i="11"/>
  <c r="D25" i="11"/>
  <c r="D10" i="11"/>
  <c r="D19" i="11"/>
  <c r="D9" i="11"/>
  <c r="D18" i="11"/>
  <c r="D8" i="11"/>
  <c r="F25" i="11"/>
  <c r="F15" i="11"/>
  <c r="F10" i="11"/>
  <c r="F19" i="11"/>
  <c r="F9" i="11"/>
  <c r="F18" i="11"/>
  <c r="F8" i="11"/>
  <c r="I6" i="15" l="1"/>
  <c r="F17" i="11"/>
  <c r="H18" i="11"/>
  <c r="K25" i="13"/>
  <c r="K26" i="13"/>
  <c r="K27" i="13"/>
  <c r="K28" i="13"/>
  <c r="K29" i="13"/>
  <c r="K30" i="13"/>
  <c r="K31" i="13"/>
  <c r="K32" i="13"/>
  <c r="K33" i="13"/>
  <c r="K34" i="13"/>
  <c r="K7" i="13"/>
  <c r="K8" i="13"/>
  <c r="K9" i="13"/>
  <c r="K10" i="13"/>
  <c r="K11" i="13"/>
  <c r="K12" i="13"/>
  <c r="K103" i="13"/>
  <c r="K104" i="13"/>
  <c r="K105" i="13"/>
  <c r="K98" i="13"/>
  <c r="K99" i="13"/>
  <c r="K100" i="13"/>
  <c r="K101" i="13"/>
  <c r="K102" i="13"/>
  <c r="K91" i="13"/>
  <c r="K89" i="13"/>
  <c r="K90" i="13"/>
  <c r="K85" i="13"/>
  <c r="K86" i="13"/>
  <c r="K87" i="13"/>
  <c r="L112" i="13"/>
  <c r="L113" i="13"/>
  <c r="L114" i="13"/>
  <c r="L115" i="13"/>
  <c r="L116" i="13"/>
  <c r="L117" i="13"/>
  <c r="L118" i="13"/>
  <c r="L119" i="13"/>
  <c r="L120" i="13"/>
  <c r="G78" i="13"/>
  <c r="G77" i="13"/>
  <c r="G76" i="13" s="1"/>
  <c r="G40" i="13" s="1"/>
  <c r="G79" i="13"/>
  <c r="G80" i="13"/>
  <c r="G41" i="13"/>
  <c r="G82" i="13"/>
  <c r="G108" i="13"/>
  <c r="G107" i="13" s="1"/>
  <c r="G106" i="13" s="1"/>
  <c r="G94" i="13"/>
  <c r="G95" i="13"/>
  <c r="G97" i="13"/>
  <c r="G83" i="13"/>
  <c r="G102" i="13"/>
  <c r="G100" i="13"/>
  <c r="G99" i="13"/>
  <c r="G96" i="13"/>
  <c r="G88" i="13"/>
  <c r="G86" i="13"/>
  <c r="G85" i="13"/>
  <c r="G118" i="13"/>
  <c r="G119" i="13"/>
  <c r="G54" i="13"/>
  <c r="G59" i="13"/>
  <c r="G89" i="13"/>
  <c r="G90" i="13"/>
  <c r="G60" i="13"/>
  <c r="G84" i="13"/>
  <c r="G72" i="13"/>
  <c r="G73" i="13"/>
  <c r="G75" i="13"/>
  <c r="G61" i="13"/>
  <c r="G62" i="13"/>
  <c r="G63" i="13"/>
  <c r="G56" i="13"/>
  <c r="G55" i="13"/>
  <c r="G58" i="13"/>
  <c r="G57" i="13"/>
  <c r="G22" i="13"/>
  <c r="G12" i="1"/>
  <c r="G21" i="13"/>
  <c r="G20" i="13" s="1"/>
  <c r="G12" i="13"/>
  <c r="G26" i="13"/>
  <c r="G27" i="13"/>
  <c r="G29" i="13"/>
  <c r="G30" i="13"/>
  <c r="G23" i="13"/>
  <c r="G24" i="13"/>
  <c r="G14" i="13"/>
  <c r="G13" i="13" s="1"/>
  <c r="G17" i="13"/>
  <c r="G18" i="13"/>
  <c r="G43" i="13"/>
  <c r="G42" i="13" s="1"/>
  <c r="G44" i="13"/>
  <c r="G66" i="13"/>
  <c r="G67" i="13"/>
  <c r="G70" i="13"/>
  <c r="G71" i="13"/>
  <c r="G68" i="13"/>
  <c r="G69" i="13"/>
  <c r="G11" i="13"/>
  <c r="G10" i="13" s="1"/>
  <c r="G120" i="13"/>
  <c r="G28" i="13"/>
  <c r="G25" i="13"/>
  <c r="G31" i="13"/>
  <c r="G19" i="13"/>
  <c r="G16" i="13"/>
  <c r="G15" i="13"/>
  <c r="I94" i="13"/>
  <c r="I122" i="13"/>
  <c r="I121" i="13"/>
  <c r="I40" i="13"/>
  <c r="I18" i="13"/>
  <c r="I17" i="13" s="1"/>
  <c r="I6" i="13" s="1"/>
  <c r="L44" i="13"/>
  <c r="L45" i="13"/>
  <c r="L46" i="13"/>
  <c r="L47" i="13"/>
  <c r="L48" i="13"/>
  <c r="L49" i="13"/>
  <c r="L50" i="13"/>
  <c r="L51" i="13"/>
  <c r="L52" i="13"/>
  <c r="L53" i="13"/>
  <c r="L54" i="13"/>
  <c r="L55" i="13"/>
  <c r="L56" i="13"/>
  <c r="L57" i="13"/>
  <c r="L58" i="13"/>
  <c r="L59" i="13"/>
  <c r="L60" i="13"/>
  <c r="L61" i="13"/>
  <c r="L62" i="13"/>
  <c r="L63" i="13"/>
  <c r="L64" i="13"/>
  <c r="L65" i="13"/>
  <c r="L66" i="13"/>
  <c r="L67" i="13"/>
  <c r="L68" i="13"/>
  <c r="L69" i="13"/>
  <c r="L70" i="13"/>
  <c r="L71" i="13"/>
  <c r="L72" i="13"/>
  <c r="L73" i="13"/>
  <c r="L74" i="13"/>
  <c r="L75" i="13"/>
  <c r="L76" i="13"/>
  <c r="L77" i="13"/>
  <c r="L78" i="13"/>
  <c r="L79" i="13"/>
  <c r="L80" i="13"/>
  <c r="L81" i="13"/>
  <c r="L82" i="13"/>
  <c r="L83" i="13"/>
  <c r="L84" i="13"/>
  <c r="L85" i="13"/>
  <c r="L86" i="13"/>
  <c r="L87" i="13"/>
  <c r="L88" i="13"/>
  <c r="L89" i="13"/>
  <c r="L90" i="13"/>
  <c r="L91" i="13"/>
  <c r="L92" i="13"/>
  <c r="L93" i="13"/>
  <c r="L94" i="13"/>
  <c r="L95" i="13"/>
  <c r="L96" i="13"/>
  <c r="L97" i="13"/>
  <c r="L98" i="13"/>
  <c r="L99" i="13"/>
  <c r="L100" i="13"/>
  <c r="L101" i="13"/>
  <c r="L102" i="13"/>
  <c r="L103" i="13"/>
  <c r="L104" i="13"/>
  <c r="L105" i="13"/>
  <c r="L106" i="13"/>
  <c r="L107" i="13"/>
  <c r="L108" i="13"/>
  <c r="L109" i="13"/>
  <c r="L110" i="13"/>
  <c r="L111" i="13"/>
  <c r="L121" i="13"/>
  <c r="L122" i="13"/>
  <c r="L123" i="13"/>
  <c r="L9" i="13"/>
  <c r="L10" i="13"/>
  <c r="L11" i="13"/>
  <c r="L12" i="13"/>
  <c r="L13" i="13"/>
  <c r="L14" i="13"/>
  <c r="L15" i="13"/>
  <c r="L16" i="13"/>
  <c r="L17" i="13"/>
  <c r="L18" i="13"/>
  <c r="L19" i="13"/>
  <c r="L20" i="13"/>
  <c r="L21" i="13"/>
  <c r="L22" i="13"/>
  <c r="L23" i="13"/>
  <c r="L24" i="13"/>
  <c r="L25" i="13"/>
  <c r="L26" i="13"/>
  <c r="L27" i="13"/>
  <c r="L28" i="13"/>
  <c r="L29" i="13"/>
  <c r="L30" i="13"/>
  <c r="L31" i="13"/>
  <c r="L32" i="13"/>
  <c r="L33" i="13"/>
  <c r="L34" i="13"/>
  <c r="J15" i="1"/>
  <c r="J91" i="3"/>
  <c r="J108" i="13"/>
  <c r="J107" i="13" s="1"/>
  <c r="J106" i="13" s="1"/>
  <c r="J40" i="13" s="1"/>
  <c r="H40" i="13"/>
  <c r="I49" i="13"/>
  <c r="J49" i="13"/>
  <c r="H49" i="13"/>
  <c r="I50" i="13"/>
  <c r="J50" i="13"/>
  <c r="H50" i="13"/>
  <c r="K49" i="13"/>
  <c r="J44" i="13"/>
  <c r="H44" i="13"/>
  <c r="J52" i="13"/>
  <c r="I52" i="13"/>
  <c r="H52" i="13"/>
  <c r="H43" i="13"/>
  <c r="I47" i="13"/>
  <c r="J47" i="13"/>
  <c r="H47" i="13"/>
  <c r="I64" i="13"/>
  <c r="J64" i="13"/>
  <c r="H64" i="13"/>
  <c r="J112" i="13"/>
  <c r="I110" i="13"/>
  <c r="I109" i="13" s="1"/>
  <c r="J110" i="13"/>
  <c r="H110" i="13"/>
  <c r="H109" i="13" s="1"/>
  <c r="J90" i="13"/>
  <c r="J89" i="13" s="1"/>
  <c r="H90" i="13"/>
  <c r="H89" i="13" s="1"/>
  <c r="J83" i="13"/>
  <c r="H83" i="13"/>
  <c r="J82" i="13"/>
  <c r="H82" i="13"/>
  <c r="I73" i="13"/>
  <c r="J73" i="13"/>
  <c r="J72" i="13" s="1"/>
  <c r="H73" i="13"/>
  <c r="H72" i="13" s="1"/>
  <c r="H67" i="13"/>
  <c r="H66" i="13" s="1"/>
  <c r="I67" i="13"/>
  <c r="J67" i="13"/>
  <c r="J66" i="13" s="1"/>
  <c r="I62" i="13"/>
  <c r="J62" i="13"/>
  <c r="J61" i="13" s="1"/>
  <c r="H62" i="13"/>
  <c r="H61" i="13" s="1"/>
  <c r="I55" i="13"/>
  <c r="J55" i="13"/>
  <c r="J54" i="13" s="1"/>
  <c r="H55" i="13"/>
  <c r="H54" i="13" s="1"/>
  <c r="H108" i="13"/>
  <c r="H107" i="13" s="1"/>
  <c r="H106" i="13" s="1"/>
  <c r="J97" i="13"/>
  <c r="H97" i="13"/>
  <c r="H95" i="13" s="1"/>
  <c r="J78" i="13"/>
  <c r="H78" i="13"/>
  <c r="J43" i="13"/>
  <c r="J79" i="13"/>
  <c r="H79" i="13"/>
  <c r="J88" i="13"/>
  <c r="H88" i="13"/>
  <c r="H122" i="13"/>
  <c r="H121" i="13" s="1"/>
  <c r="H103" i="13"/>
  <c r="J104" i="13"/>
  <c r="J103" i="13" s="1"/>
  <c r="I107" i="13"/>
  <c r="I106" i="13" s="1"/>
  <c r="I95" i="13"/>
  <c r="I103" i="13"/>
  <c r="J96" i="13"/>
  <c r="H92" i="13"/>
  <c r="H91" i="13" s="1"/>
  <c r="I92" i="13"/>
  <c r="I91" i="13" s="1"/>
  <c r="J92" i="13"/>
  <c r="J91" i="13" s="1"/>
  <c r="I81" i="13"/>
  <c r="H86" i="13"/>
  <c r="I89" i="13"/>
  <c r="J86" i="13"/>
  <c r="J85" i="13"/>
  <c r="I42" i="13"/>
  <c r="I41" i="13" s="1"/>
  <c r="H12" i="1"/>
  <c r="H20" i="3"/>
  <c r="H8" i="13"/>
  <c r="H7" i="13" s="1"/>
  <c r="I8" i="13"/>
  <c r="I7" i="13" s="1"/>
  <c r="H11" i="13"/>
  <c r="H10" i="13" s="1"/>
  <c r="I11" i="13"/>
  <c r="I10" i="13" s="1"/>
  <c r="H33" i="13"/>
  <c r="H32" i="13" s="1"/>
  <c r="I33" i="13"/>
  <c r="I32" i="13" s="1"/>
  <c r="H24" i="13"/>
  <c r="H23" i="13" s="1"/>
  <c r="I24" i="13"/>
  <c r="I23" i="13" s="1"/>
  <c r="H30" i="13"/>
  <c r="H29" i="13" s="1"/>
  <c r="I30" i="13"/>
  <c r="I29" i="13" s="1"/>
  <c r="H21" i="13"/>
  <c r="H20" i="13" s="1"/>
  <c r="I21" i="13"/>
  <c r="I20" i="13" s="1"/>
  <c r="H17" i="13"/>
  <c r="H14" i="13"/>
  <c r="H13" i="13" s="1"/>
  <c r="I14" i="13"/>
  <c r="I13" i="13" s="1"/>
  <c r="J33" i="13"/>
  <c r="J32" i="13" s="1"/>
  <c r="J30" i="13"/>
  <c r="J29" i="13" s="1"/>
  <c r="J24" i="13"/>
  <c r="J23" i="13" s="1"/>
  <c r="J21" i="13"/>
  <c r="J20" i="13" s="1"/>
  <c r="J18" i="13"/>
  <c r="J17" i="13" s="1"/>
  <c r="J14" i="13"/>
  <c r="J13" i="13" s="1"/>
  <c r="J11" i="13"/>
  <c r="J10" i="13" s="1"/>
  <c r="J8" i="13"/>
  <c r="J7" i="13" s="1"/>
  <c r="G81" i="13" l="1"/>
  <c r="G6" i="13"/>
  <c r="I61" i="13"/>
  <c r="H77" i="13"/>
  <c r="H76" i="13" s="1"/>
  <c r="J109" i="13"/>
  <c r="J77" i="13"/>
  <c r="J76" i="13" s="1"/>
  <c r="K76" i="13" s="1"/>
  <c r="J95" i="13"/>
  <c r="J94" i="13" s="1"/>
  <c r="H81" i="13"/>
  <c r="H80" i="13" s="1"/>
  <c r="H94" i="13"/>
  <c r="J81" i="13"/>
  <c r="J80" i="13" s="1"/>
  <c r="H42" i="13"/>
  <c r="H41" i="13" s="1"/>
  <c r="J42" i="13"/>
  <c r="J41" i="13" s="1"/>
  <c r="H6" i="13"/>
  <c r="J6" i="13"/>
  <c r="E7" i="11"/>
  <c r="E6" i="11" s="1"/>
  <c r="H132" i="3"/>
  <c r="H131" i="3" s="1"/>
  <c r="H130" i="3" s="1"/>
  <c r="H129" i="3"/>
  <c r="H128" i="3" s="1"/>
  <c r="H125" i="3"/>
  <c r="H122" i="3"/>
  <c r="H113" i="3"/>
  <c r="H112" i="3" s="1"/>
  <c r="H107" i="3"/>
  <c r="H106" i="3"/>
  <c r="H103" i="3" s="1"/>
  <c r="H100" i="3"/>
  <c r="H94" i="3"/>
  <c r="H93" i="3" s="1"/>
  <c r="H92" i="3"/>
  <c r="H85" i="3" s="1"/>
  <c r="H80" i="3"/>
  <c r="H73" i="3" s="1"/>
  <c r="H67" i="3"/>
  <c r="H66" i="3" s="1"/>
  <c r="H61" i="3"/>
  <c r="H57" i="3"/>
  <c r="H55" i="3"/>
  <c r="H53" i="3"/>
  <c r="H37" i="3"/>
  <c r="H36" i="3" s="1"/>
  <c r="H33" i="3"/>
  <c r="H30" i="3"/>
  <c r="H18" i="3"/>
  <c r="H16" i="3"/>
  <c r="H15" i="3" s="1"/>
  <c r="L31" i="3"/>
  <c r="L32" i="3"/>
  <c r="L34" i="3"/>
  <c r="L35" i="3"/>
  <c r="L38" i="3"/>
  <c r="L39" i="3"/>
  <c r="L40" i="3"/>
  <c r="L41" i="3"/>
  <c r="L42" i="3"/>
  <c r="L43" i="3"/>
  <c r="L127" i="3"/>
  <c r="L129" i="3"/>
  <c r="L123" i="3"/>
  <c r="L124" i="3"/>
  <c r="L125" i="3"/>
  <c r="L114" i="3"/>
  <c r="L115" i="3"/>
  <c r="L116" i="3"/>
  <c r="L117" i="3"/>
  <c r="L118" i="3"/>
  <c r="L99" i="3"/>
  <c r="L101" i="3"/>
  <c r="L102" i="3"/>
  <c r="L104" i="3"/>
  <c r="L105" i="3"/>
  <c r="L106" i="3"/>
  <c r="L107" i="3"/>
  <c r="L108" i="3"/>
  <c r="L109" i="3"/>
  <c r="L110" i="3"/>
  <c r="L111" i="3"/>
  <c r="L65" i="3"/>
  <c r="L68" i="3"/>
  <c r="D7" i="11"/>
  <c r="I131" i="3"/>
  <c r="I130" i="3" s="1"/>
  <c r="I121" i="3"/>
  <c r="I120" i="3" s="1"/>
  <c r="I113" i="3"/>
  <c r="I112" i="3" s="1"/>
  <c r="I103" i="3"/>
  <c r="I100" i="3"/>
  <c r="I94" i="3"/>
  <c r="I93" i="3" s="1"/>
  <c r="I85" i="3"/>
  <c r="I71" i="3"/>
  <c r="I73" i="3"/>
  <c r="I69" i="3"/>
  <c r="I62" i="3"/>
  <c r="I61" i="3" s="1"/>
  <c r="I58" i="3"/>
  <c r="I57" i="3" s="1"/>
  <c r="I56" i="3"/>
  <c r="I55" i="3" s="1"/>
  <c r="I54" i="3"/>
  <c r="I53" i="3" s="1"/>
  <c r="I36" i="3"/>
  <c r="H29" i="3" l="1"/>
  <c r="H52" i="3"/>
  <c r="H12" i="3"/>
  <c r="H11" i="3" s="1"/>
  <c r="H10" i="3" s="1"/>
  <c r="I119" i="3"/>
  <c r="H121" i="3"/>
  <c r="H120" i="3" s="1"/>
  <c r="H119" i="3" s="1"/>
  <c r="H60" i="3"/>
  <c r="H51" i="3" s="1"/>
  <c r="H50" i="3" s="1"/>
  <c r="I52" i="3"/>
  <c r="I66" i="3"/>
  <c r="I60" i="3" s="1"/>
  <c r="I51" i="3" l="1"/>
  <c r="I50" i="3" s="1"/>
  <c r="I33" i="3" l="1"/>
  <c r="I30" i="3"/>
  <c r="I29" i="3" s="1"/>
  <c r="I18" i="3"/>
  <c r="I12" i="3" s="1"/>
  <c r="I11" i="3" l="1"/>
  <c r="I10" i="3" s="1"/>
  <c r="C7" i="11"/>
  <c r="F7" i="11"/>
  <c r="H16" i="11"/>
  <c r="H12" i="11"/>
  <c r="H11" i="11"/>
  <c r="G84" i="3"/>
  <c r="G83" i="3" s="1"/>
  <c r="G129" i="3"/>
  <c r="G122" i="3"/>
  <c r="G121" i="3" s="1"/>
  <c r="G116" i="3"/>
  <c r="G114" i="3"/>
  <c r="G113" i="3" s="1"/>
  <c r="G112" i="3" s="1"/>
  <c r="G107" i="3"/>
  <c r="G106" i="3"/>
  <c r="G105" i="3"/>
  <c r="G104" i="3"/>
  <c r="G102" i="3"/>
  <c r="G101" i="3"/>
  <c r="G100" i="3" s="1"/>
  <c r="G98" i="3"/>
  <c r="G96" i="3"/>
  <c r="G92" i="3"/>
  <c r="G91" i="3"/>
  <c r="G90" i="3"/>
  <c r="G89" i="3"/>
  <c r="G88" i="3"/>
  <c r="G82" i="3"/>
  <c r="G81" i="3"/>
  <c r="G80" i="3"/>
  <c r="G79" i="3"/>
  <c r="G78" i="3"/>
  <c r="G77" i="3"/>
  <c r="G76" i="3"/>
  <c r="G75" i="3"/>
  <c r="G74" i="3"/>
  <c r="G72" i="3"/>
  <c r="G70" i="3"/>
  <c r="G71" i="3"/>
  <c r="G69" i="3"/>
  <c r="G67" i="3"/>
  <c r="G65" i="3"/>
  <c r="G64" i="3"/>
  <c r="G63" i="3"/>
  <c r="G62" i="3"/>
  <c r="G59" i="3"/>
  <c r="G58" i="3"/>
  <c r="G56" i="3"/>
  <c r="G54" i="3"/>
  <c r="G53" i="3" s="1"/>
  <c r="G35" i="3"/>
  <c r="G33" i="3" s="1"/>
  <c r="G43" i="3"/>
  <c r="G42" i="3" s="1"/>
  <c r="G41" i="3" s="1"/>
  <c r="G40" i="3" s="1"/>
  <c r="G39" i="3"/>
  <c r="G38" i="3"/>
  <c r="G32" i="3"/>
  <c r="G31" i="3"/>
  <c r="G28" i="3"/>
  <c r="G25" i="3"/>
  <c r="G24" i="3" s="1"/>
  <c r="G22" i="3"/>
  <c r="G21" i="3"/>
  <c r="G19" i="3"/>
  <c r="G18" i="3" s="1"/>
  <c r="G17" i="3"/>
  <c r="G16" i="3"/>
  <c r="G15" i="3" s="1"/>
  <c r="J113" i="3"/>
  <c r="J57" i="3"/>
  <c r="J103" i="3"/>
  <c r="L103" i="3" s="1"/>
  <c r="J100" i="3"/>
  <c r="L100" i="3" s="1"/>
  <c r="J94" i="3"/>
  <c r="J131" i="3"/>
  <c r="L131" i="3" s="1"/>
  <c r="L132" i="3"/>
  <c r="K132" i="3"/>
  <c r="G130" i="3"/>
  <c r="J121" i="3"/>
  <c r="J126" i="3"/>
  <c r="L126" i="3" s="1"/>
  <c r="J15" i="3"/>
  <c r="J30" i="3"/>
  <c r="L30" i="3" s="1"/>
  <c r="J20" i="3"/>
  <c r="J18" i="3"/>
  <c r="G24" i="1"/>
  <c r="I24" i="1"/>
  <c r="J24" i="1"/>
  <c r="H24" i="1"/>
  <c r="K16" i="1"/>
  <c r="G103" i="3" l="1"/>
  <c r="G94" i="3"/>
  <c r="G93" i="3" s="1"/>
  <c r="J112" i="3"/>
  <c r="L112" i="3" s="1"/>
  <c r="L113" i="3"/>
  <c r="G20" i="3"/>
  <c r="G85" i="3"/>
  <c r="G30" i="3"/>
  <c r="G37" i="3"/>
  <c r="G12" i="3"/>
  <c r="G29" i="3"/>
  <c r="J130" i="3"/>
  <c r="L130" i="3" s="1"/>
  <c r="K131" i="3"/>
  <c r="J12" i="3"/>
  <c r="I11" i="1"/>
  <c r="I14" i="1"/>
  <c r="K84" i="13"/>
  <c r="K130" i="3" l="1"/>
  <c r="I17" i="1"/>
  <c r="H14" i="11"/>
  <c r="H13" i="11"/>
  <c r="K111" i="3" l="1"/>
  <c r="K117" i="3" l="1"/>
  <c r="K68" i="3"/>
  <c r="K40" i="3"/>
  <c r="J33" i="3"/>
  <c r="J29" i="3" l="1"/>
  <c r="L29" i="3" s="1"/>
  <c r="L33" i="3"/>
  <c r="L12" i="1"/>
  <c r="L13" i="1"/>
  <c r="L15" i="1"/>
  <c r="L16" i="1"/>
  <c r="K12" i="1"/>
  <c r="K13" i="1"/>
  <c r="K15" i="1"/>
  <c r="G57" i="3" l="1"/>
  <c r="G55" i="3"/>
  <c r="G36" i="3"/>
  <c r="G23" i="3"/>
  <c r="G27" i="3"/>
  <c r="G26" i="3" s="1"/>
  <c r="G61" i="3"/>
  <c r="G109" i="3"/>
  <c r="G108" i="3" s="1"/>
  <c r="G128" i="3"/>
  <c r="G120" i="3" l="1"/>
  <c r="G119" i="3" s="1"/>
  <c r="G73" i="3"/>
  <c r="G66" i="3"/>
  <c r="G60" i="3" s="1"/>
  <c r="G52" i="3"/>
  <c r="G11" i="3"/>
  <c r="G10" i="3" s="1"/>
  <c r="G51" i="3" l="1"/>
  <c r="G50" i="3" s="1"/>
  <c r="K97" i="13"/>
  <c r="K22" i="13" l="1"/>
  <c r="K19" i="13"/>
  <c r="K15" i="13"/>
  <c r="K120" i="13"/>
  <c r="K117" i="13"/>
  <c r="K113" i="13"/>
  <c r="K111" i="13"/>
  <c r="K108" i="13"/>
  <c r="K88" i="13"/>
  <c r="K83" i="13"/>
  <c r="K82" i="13"/>
  <c r="K75" i="13"/>
  <c r="K74" i="13"/>
  <c r="K69" i="13"/>
  <c r="K68" i="13"/>
  <c r="K63" i="13"/>
  <c r="K62" i="13"/>
  <c r="K61" i="13"/>
  <c r="K60" i="13"/>
  <c r="K55" i="13"/>
  <c r="K54" i="13"/>
  <c r="K48" i="13"/>
  <c r="K46" i="13"/>
  <c r="K45" i="13"/>
  <c r="K44" i="13"/>
  <c r="L43" i="13"/>
  <c r="K43" i="13"/>
  <c r="G8" i="11"/>
  <c r="H8" i="11"/>
  <c r="G9" i="11"/>
  <c r="H9" i="11"/>
  <c r="G10" i="11"/>
  <c r="H10" i="11"/>
  <c r="H15" i="11"/>
  <c r="H19" i="11"/>
  <c r="H23" i="11"/>
  <c r="H24" i="11"/>
  <c r="H25" i="11"/>
  <c r="L122" i="3"/>
  <c r="L98" i="3"/>
  <c r="L97" i="3"/>
  <c r="L96" i="3"/>
  <c r="L92" i="3"/>
  <c r="L91" i="3"/>
  <c r="L90" i="3"/>
  <c r="L89" i="3"/>
  <c r="L88" i="3"/>
  <c r="L87" i="3"/>
  <c r="L86" i="3"/>
  <c r="L82" i="3"/>
  <c r="L81" i="3"/>
  <c r="L80" i="3"/>
  <c r="L79" i="3"/>
  <c r="L78" i="3"/>
  <c r="L77" i="3"/>
  <c r="L76" i="3"/>
  <c r="L75" i="3"/>
  <c r="L74" i="3"/>
  <c r="L72" i="3"/>
  <c r="L71" i="3"/>
  <c r="L70" i="3"/>
  <c r="L69" i="3"/>
  <c r="L67" i="3"/>
  <c r="L64" i="3"/>
  <c r="L63" i="3"/>
  <c r="L62" i="3"/>
  <c r="L59" i="3"/>
  <c r="L58" i="3"/>
  <c r="L56" i="3"/>
  <c r="L54" i="3"/>
  <c r="L28" i="3"/>
  <c r="L25" i="3"/>
  <c r="L17" i="3"/>
  <c r="L16" i="3"/>
  <c r="K129" i="3"/>
  <c r="K122" i="3"/>
  <c r="K115" i="3"/>
  <c r="K110" i="3"/>
  <c r="K99" i="3"/>
  <c r="K98" i="3"/>
  <c r="K97" i="3"/>
  <c r="K96" i="3"/>
  <c r="K92" i="3"/>
  <c r="K91" i="3"/>
  <c r="K90" i="3"/>
  <c r="K89" i="3"/>
  <c r="K88" i="3"/>
  <c r="K87" i="3"/>
  <c r="K86" i="3"/>
  <c r="K82" i="3"/>
  <c r="K81" i="3"/>
  <c r="K80" i="3"/>
  <c r="K79" i="3"/>
  <c r="K78" i="3"/>
  <c r="K77" i="3"/>
  <c r="K76" i="3"/>
  <c r="K75" i="3"/>
  <c r="K74" i="3"/>
  <c r="K72" i="3"/>
  <c r="K71" i="3"/>
  <c r="K70" i="3"/>
  <c r="K69" i="3"/>
  <c r="K67" i="3"/>
  <c r="K65" i="3"/>
  <c r="K64" i="3"/>
  <c r="K63" i="3"/>
  <c r="K62" i="3"/>
  <c r="K59" i="3"/>
  <c r="K58" i="3"/>
  <c r="K56" i="3"/>
  <c r="K54" i="3"/>
  <c r="K43" i="3"/>
  <c r="K39" i="3"/>
  <c r="K38" i="3"/>
  <c r="K35" i="3"/>
  <c r="K31" i="3"/>
  <c r="K28" i="3"/>
  <c r="K25" i="3"/>
  <c r="K17" i="3"/>
  <c r="K16" i="3"/>
  <c r="K115" i="13"/>
  <c r="G17" i="11"/>
  <c r="J27" i="3"/>
  <c r="J26" i="3" s="1"/>
  <c r="K26" i="3" s="1"/>
  <c r="J24" i="3"/>
  <c r="J23" i="3" s="1"/>
  <c r="L23" i="3" s="1"/>
  <c r="L121" i="3"/>
  <c r="J93" i="3"/>
  <c r="L93" i="3" s="1"/>
  <c r="J128" i="3"/>
  <c r="L128" i="3" s="1"/>
  <c r="J85" i="3"/>
  <c r="L85" i="3" s="1"/>
  <c r="J73" i="3"/>
  <c r="L73" i="3" s="1"/>
  <c r="J66" i="3"/>
  <c r="L66" i="3" s="1"/>
  <c r="J61" i="3"/>
  <c r="K61" i="3" s="1"/>
  <c r="L57" i="3"/>
  <c r="L55" i="3"/>
  <c r="J53" i="3"/>
  <c r="L53" i="3" s="1"/>
  <c r="G11" i="1"/>
  <c r="G14" i="1"/>
  <c r="J14" i="1"/>
  <c r="J17" i="1" s="1"/>
  <c r="J11" i="1"/>
  <c r="K128" i="3" l="1"/>
  <c r="J120" i="3"/>
  <c r="J119" i="3" s="1"/>
  <c r="K14" i="1"/>
  <c r="G17" i="1"/>
  <c r="K11" i="1"/>
  <c r="K55" i="3"/>
  <c r="L24" i="3"/>
  <c r="K73" i="3"/>
  <c r="K29" i="3"/>
  <c r="K30" i="3"/>
  <c r="K93" i="3"/>
  <c r="K113" i="3"/>
  <c r="K121" i="3"/>
  <c r="K23" i="3"/>
  <c r="K27" i="3"/>
  <c r="K53" i="3"/>
  <c r="K57" i="3"/>
  <c r="K66" i="3"/>
  <c r="K94" i="3"/>
  <c r="L26" i="3"/>
  <c r="L61" i="3"/>
  <c r="K24" i="3"/>
  <c r="L27" i="3"/>
  <c r="L94" i="3"/>
  <c r="K108" i="3"/>
  <c r="K109" i="3"/>
  <c r="K85" i="3"/>
  <c r="K14" i="13"/>
  <c r="K17" i="13"/>
  <c r="K24" i="13"/>
  <c r="K23" i="13"/>
  <c r="K18" i="13"/>
  <c r="K21" i="13"/>
  <c r="K67" i="13"/>
  <c r="K107" i="13"/>
  <c r="L42" i="13"/>
  <c r="K81" i="13"/>
  <c r="K106" i="13"/>
  <c r="K110" i="13"/>
  <c r="K112" i="13"/>
  <c r="K119" i="13"/>
  <c r="K42" i="13"/>
  <c r="K73" i="13"/>
  <c r="K80" i="13"/>
  <c r="K47" i="13"/>
  <c r="C6" i="11"/>
  <c r="J52" i="3"/>
  <c r="J60" i="3"/>
  <c r="J51" i="3" l="1"/>
  <c r="J50" i="3" s="1"/>
  <c r="K112" i="3"/>
  <c r="L7" i="13"/>
  <c r="K13" i="13"/>
  <c r="K52" i="3"/>
  <c r="L52" i="3"/>
  <c r="L120" i="3"/>
  <c r="K120" i="3"/>
  <c r="L60" i="3"/>
  <c r="K60" i="3"/>
  <c r="K20" i="13"/>
  <c r="K66" i="13"/>
  <c r="K109" i="13"/>
  <c r="K114" i="13"/>
  <c r="L41" i="13"/>
  <c r="K72" i="13"/>
  <c r="K6" i="13" l="1"/>
  <c r="L6" i="13"/>
  <c r="L8" i="13"/>
  <c r="K41" i="13"/>
  <c r="K119" i="3"/>
  <c r="L119" i="3"/>
  <c r="L50" i="3"/>
  <c r="K50" i="3"/>
  <c r="L51" i="3"/>
  <c r="K51" i="3"/>
  <c r="L40" i="13"/>
  <c r="K40" i="13"/>
  <c r="H11" i="1"/>
  <c r="L11" i="1" s="1"/>
  <c r="H14" i="1"/>
  <c r="L14" i="1" s="1"/>
  <c r="J37" i="3"/>
  <c r="L37" i="3" s="1"/>
  <c r="D6" i="11" l="1"/>
  <c r="J36" i="3"/>
  <c r="L36" i="3" s="1"/>
  <c r="K37" i="3"/>
  <c r="K15" i="3"/>
  <c r="L15" i="3"/>
  <c r="H17" i="11"/>
  <c r="H7" i="11"/>
  <c r="G7" i="11"/>
  <c r="F6" i="11"/>
  <c r="H17" i="1"/>
  <c r="J11" i="3" l="1"/>
  <c r="J10" i="3" s="1"/>
  <c r="L12" i="3"/>
  <c r="K12" i="3"/>
  <c r="K36" i="3"/>
  <c r="H6" i="11"/>
  <c r="G6" i="11"/>
  <c r="L11" i="3" l="1"/>
  <c r="K11" i="3"/>
  <c r="L10" i="3"/>
  <c r="K10" i="3"/>
</calcChain>
</file>

<file path=xl/sharedStrings.xml><?xml version="1.0" encoding="utf-8"?>
<sst xmlns="http://schemas.openxmlformats.org/spreadsheetml/2006/main" count="387" uniqueCount="231">
  <si>
    <t>PRIHODI UKUPNO</t>
  </si>
  <si>
    <t>RASHODI UKUPNO</t>
  </si>
  <si>
    <t>Prihodi poslovanja</t>
  </si>
  <si>
    <t>Rashodi poslovanja</t>
  </si>
  <si>
    <t>Rashodi za zaposlene</t>
  </si>
  <si>
    <t>Rashodi za nabavu nefinancijske imovine</t>
  </si>
  <si>
    <t>BROJČANA OZNAKA I NAZIV</t>
  </si>
  <si>
    <t>UKUPNI RASHODI</t>
  </si>
  <si>
    <t>I. OPĆI DIO</t>
  </si>
  <si>
    <t>Materijalni rashodi</t>
  </si>
  <si>
    <t>INDEKS</t>
  </si>
  <si>
    <t xml:space="preserve">IZVJEŠTAJ O PRIHODIMA I RASHODIMA PREMA EKONOMSKOJ KLASIFIKACIJI </t>
  </si>
  <si>
    <t>6=5/2*100</t>
  </si>
  <si>
    <t>7=5/4*100</t>
  </si>
  <si>
    <t>Pomoći iz inozemstva i od subjekata unutar općeg proračuna</t>
  </si>
  <si>
    <t xml:space="preserve"> Prihodi od prodaje proizvoda i robe te pruženih usluga i prihodi od donacija</t>
  </si>
  <si>
    <t>Plaće (Bruto)</t>
  </si>
  <si>
    <t>Plaće za redovan rad</t>
  </si>
  <si>
    <t>Naknade troškova zaposlenima</t>
  </si>
  <si>
    <t>Službena putovanja</t>
  </si>
  <si>
    <t>UKUPNO RASHODI</t>
  </si>
  <si>
    <t>IZVJEŠTAJ O RASHODIMA PREMA FUNKCIJSKOJ KLASIFIKACIJI</t>
  </si>
  <si>
    <t>TEKUĆI PLAN 2023.*</t>
  </si>
  <si>
    <t>INDEKS**</t>
  </si>
  <si>
    <t>UKUPNO PRIHODI</t>
  </si>
  <si>
    <t>IZVORNI PLAN ILI REBALANS 2023.*</t>
  </si>
  <si>
    <t>6 PRIHODI POSLOVANJA</t>
  </si>
  <si>
    <t>7 PRIHODI OD PRODAJE NEFINANCIJSKE IMOVINE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</si>
  <si>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</si>
  <si>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</si>
  <si>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</si>
  <si>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</si>
  <si>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RAZLIKA PRIMITAKA I IZDATAKA</t>
  </si>
  <si>
    <t>SAŽETAK  RAČUNA PRIHODA I RASHODA I  RAČUNA FINANCIRANJA</t>
  </si>
  <si>
    <t>PRENESENI VIŠAK/MANJAK IZ PRETHODNE GODINE</t>
  </si>
  <si>
    <t xml:space="preserve">RAČUN PRIHODA I RASHODA </t>
  </si>
  <si>
    <t>SAŽETAK RAČUNA FINANCIRANJA</t>
  </si>
  <si>
    <t>RAZLIKA - VIŠAK MANJAK</t>
  </si>
  <si>
    <t xml:space="preserve">* Opći i posebni dio polugodišnjeg izvještaja o izvršenju proračuna sadrži samo izvorni plan ako od donošenja proračuna nije bilo izmjena i dopuna niti izvršenih preraspodjela odnosno izvorni plan i tekući plan ako je od donošenja proračuna bilo naknadno izvršenih preraspodjela.  
Opći i posebni dio polugodišnjeg izvještaja o izvršenju proračuna sadrži rebalans ako je od donošenja proračuna bilo izmjena i dopuna, odnosno rebalans i tekući plan ako je od izmjena i dopuna proračuna bilo naknadno izvršenih preraspodjela. </t>
  </si>
  <si>
    <t>SAŽETAK  RAČUNA PRIHODA I RASHODA I  RAČUNA FINANCIRANJA  može sadržavati i dodatne podatke.</t>
  </si>
  <si>
    <t>PRIJENOS VIŠKA/MANJKA U SLJEDEĆE RAZDOBLJE</t>
  </si>
  <si>
    <t xml:space="preserve">** AKO Opći i Posebni dio polugodišnjeg izvještaja ne sadrži "TEKUĆI PLAN 2023.", "INDEKS"("OSTVARENJE/IZVRŠENJE 1.-6.2023."/"TEKUĆI PLAN 2023.") iskazuje se kao "OSTVARENJE/IZVRŠENJE 1.-6.2023."/"IZVORNI PLAN 2023." ODNOSNO "REBALANS 2023." </t>
  </si>
  <si>
    <t>SAŽETAK RAČUNA PRIHODA I RASHODA</t>
  </si>
  <si>
    <t>Pomoći proračunskim korisnicima</t>
  </si>
  <si>
    <t>Tekuće pomoći proračunskim korisnicima</t>
  </si>
  <si>
    <t>Donacije od pravnih i fizičkih osoba</t>
  </si>
  <si>
    <t>Tekuće donacije</t>
  </si>
  <si>
    <t>Prihodi iz nadležnog proračuna za financ.</t>
  </si>
  <si>
    <t>Prihodi iz nadležnog proračuna proračuna</t>
  </si>
  <si>
    <t xml:space="preserve">Prihodi iz nadležnog  proračuna </t>
  </si>
  <si>
    <t>Ostali rashodi za zaposlene</t>
  </si>
  <si>
    <t>Doprinosi na plaću</t>
  </si>
  <si>
    <t>Doprinosi za zdravstveno osiguranje</t>
  </si>
  <si>
    <t>Doprinosi za zapošljavanje</t>
  </si>
  <si>
    <t>Naknada za prijevoz</t>
  </si>
  <si>
    <t>Stručno usavršavanje zaposlenika</t>
  </si>
  <si>
    <t>Uredski materijal</t>
  </si>
  <si>
    <t>Energija</t>
  </si>
  <si>
    <t>Materijal i dijelovi za tekuće i investicijsko održavanje</t>
  </si>
  <si>
    <t>Službena, radna i zaštitna odjeća i obuča</t>
  </si>
  <si>
    <t>Usluge telefona, pošte i prijevoza</t>
  </si>
  <si>
    <t>Usluge telefonatekućeg, pošte i prijevoza</t>
  </si>
  <si>
    <t>Usluge promidžbe i informiranja</t>
  </si>
  <si>
    <t>Komunalne usluge</t>
  </si>
  <si>
    <t>Zakupnine i najamnine</t>
  </si>
  <si>
    <t>Intelektualne i osobne usluge</t>
  </si>
  <si>
    <t>Računalne usluge</t>
  </si>
  <si>
    <t>Ostale usluge</t>
  </si>
  <si>
    <t>Knjige</t>
  </si>
  <si>
    <t>Uredska oprema i namještaj</t>
  </si>
  <si>
    <t>Rashodi za nabavu proizvedene dugotrajne imovine</t>
  </si>
  <si>
    <t>Postrojena i oprema</t>
  </si>
  <si>
    <t>Knjige, umjetnička djela i ostale izložbene vrijednosti</t>
  </si>
  <si>
    <t>0922 Više srednjoškolsko obrazovanje</t>
  </si>
  <si>
    <t>32 Materijalni rashodi</t>
  </si>
  <si>
    <t>34 Financijski rashodi</t>
  </si>
  <si>
    <t>31 Rashodi za zaposlene</t>
  </si>
  <si>
    <t>42 Rashodi za nabavu nefinancijske imovine</t>
  </si>
  <si>
    <t>0960 Dodatne usluge u obrazovanju</t>
  </si>
  <si>
    <t>37 Naknade građanima i kućanstvima</t>
  </si>
  <si>
    <t>38 Ostali rashodi</t>
  </si>
  <si>
    <t>Kapitalne pomoći proračunskim korisnicima</t>
  </si>
  <si>
    <t>1.1.1 Opći prihodi i primici</t>
  </si>
  <si>
    <t>Financijski rashodi</t>
  </si>
  <si>
    <t>3.2.1 Vlastiti prihodi</t>
  </si>
  <si>
    <t>3.2.2 Vlastiti prihodi - prenesena sredstva</t>
  </si>
  <si>
    <t>4.4.1 Prihodi za posebne namjene - Decentralizacija</t>
  </si>
  <si>
    <t xml:space="preserve">4.8.1 Prihodi za posebne namjene </t>
  </si>
  <si>
    <t>5.4.1 Pomoći</t>
  </si>
  <si>
    <t>6.2.1 Donacije</t>
  </si>
  <si>
    <t>6.2.2 Donacije - prenesena sredstva</t>
  </si>
  <si>
    <t>5.5.2 Pomoći EU - prenesena sredstva</t>
  </si>
  <si>
    <t>Prihodi od imovine</t>
  </si>
  <si>
    <t>Prihodi od upravnih i administr. pristojbi, prihodi po posebnim propisima i naknada</t>
  </si>
  <si>
    <t>Sitni inventar i auto gume</t>
  </si>
  <si>
    <t>Zdravstvene i veterinarske usluge</t>
  </si>
  <si>
    <t>Naknade za rad predstavničkih i izvršnih tijela, povjerenstava i slično</t>
  </si>
  <si>
    <t>Premije osiguranja</t>
  </si>
  <si>
    <t>Reprezentacija</t>
  </si>
  <si>
    <t>Članarine i norme</t>
  </si>
  <si>
    <t>Pristojbe i naknade</t>
  </si>
  <si>
    <t>Troškovi sudskih postupaka</t>
  </si>
  <si>
    <t>Ostali nespomenuti rashodi poslovanja</t>
  </si>
  <si>
    <t>Rashodi za materijal i energiju</t>
  </si>
  <si>
    <t>Rashodi za usluge</t>
  </si>
  <si>
    <t>Ostali financijsku rashodi</t>
  </si>
  <si>
    <t>Bankarske usluge i usluge platnog prometa</t>
  </si>
  <si>
    <t>Negativne tečajne razlike</t>
  </si>
  <si>
    <t>Zatezne kamate</t>
  </si>
  <si>
    <t>Ostali nespomenuti financijski rashodi</t>
  </si>
  <si>
    <t>Naknade građanima i kućanstvima</t>
  </si>
  <si>
    <t>Ostale naknade građanima i kućanstvima iz proračuna</t>
  </si>
  <si>
    <t>Naknade građanima i kućanstvima u naravi</t>
  </si>
  <si>
    <t xml:space="preserve">Ostali rashodi </t>
  </si>
  <si>
    <t>Tekuće donacije u naravi</t>
  </si>
  <si>
    <t>Ostali rashodi</t>
  </si>
  <si>
    <t>Prihodi od donacija</t>
  </si>
  <si>
    <t>Prihodi iz nadležnog proračuna</t>
  </si>
  <si>
    <t>IZVJEŠTAJ O PRIHODIMA I RASHODIMA PREMA IZVORIMA FINANCIRANJA</t>
  </si>
  <si>
    <t>42 Rashodi za nabavu proiz. dug. imovine</t>
  </si>
  <si>
    <t xml:space="preserve"> IZVRŠENJE 
1.-12.2022. </t>
  </si>
  <si>
    <t xml:space="preserve">IZVRŠENJE 
1.-12.2023. </t>
  </si>
  <si>
    <t xml:space="preserve">OSTVARENJE/IZVRŠENJE 
1.-12.2022. </t>
  </si>
  <si>
    <t xml:space="preserve">OSTVARENJE/IZVRŠENJE 
1.-12.2023. </t>
  </si>
  <si>
    <t>Pomoći temeljem prijenosa EU sredstava</t>
  </si>
  <si>
    <t>Tekuće pomoći temeljem prijenosa EU sredstava</t>
  </si>
  <si>
    <t>Ostali nespomenuti prihodi</t>
  </si>
  <si>
    <t>Prihodi po posebnin propisima</t>
  </si>
  <si>
    <t>Prihodi od prodaje proizvoda,roba te pruž.usluga</t>
  </si>
  <si>
    <t>Prihodi od prodaje proizvoda i robe</t>
  </si>
  <si>
    <t>Prihodi od pruženih usluga</t>
  </si>
  <si>
    <t>Prihodi od prodaje nefinancijske imovine</t>
  </si>
  <si>
    <t>Prihodi od prodaje građevinskih objekata</t>
  </si>
  <si>
    <t>Stambeni objekti</t>
  </si>
  <si>
    <t>Prihodi od prodaje proizv.dugotrajne imovine</t>
  </si>
  <si>
    <t>Prihodi od financijske imovine</t>
  </si>
  <si>
    <t>Kamate na oročena sredstva i depozite po viđenju</t>
  </si>
  <si>
    <t>Materijal i sirovine</t>
  </si>
  <si>
    <t>Naknade građanima i kućanstvima u novcu</t>
  </si>
  <si>
    <t>Kazne,penali i naknade štete</t>
  </si>
  <si>
    <t>Naknade šteta pravnim i fizičkim osobama</t>
  </si>
  <si>
    <t>Kapitalne donacije</t>
  </si>
  <si>
    <t>Ostale naknade troškova zaposlenima</t>
  </si>
  <si>
    <t>Komunikacijska oprema</t>
  </si>
  <si>
    <t>Oprema za održavanje i zaštitu</t>
  </si>
  <si>
    <t>4.4.1 Prihodi za posebne namjene-Decentralizacija</t>
  </si>
  <si>
    <t>Prihodi od prodaje proizvoda</t>
  </si>
  <si>
    <t>7.2.1.Prihodi od prodaje nefinancijske imovine</t>
  </si>
  <si>
    <t>'Materijalni rashodi</t>
  </si>
  <si>
    <t>7.2.1 Prihodi od prodaje nefinanc.imovine PK</t>
  </si>
  <si>
    <t>5.5.1. Pomoći EU</t>
  </si>
  <si>
    <t>Napomena:  Iznosi u stupcu "OSTVARENJE/IZVRŠENJE 01.-12.2022." preračunavaju se iz kuna u eure prema fiksnom tečaju konverzije (1 EUR=7,53450 kuna) i po pravilima za preračunavanje i zaokruživanje.</t>
  </si>
  <si>
    <t>IZVJEŠTAJ O IZVRŠENJU PRORAČUNA JEDINICE LOKALNE I PODRUČNE (REGIONALNE) SAMOUPRAVE ZA  2023.                                                                               OBRTNA TEHNIČKA ŠKOLA SPLIT</t>
  </si>
  <si>
    <t>Pomoći od međunarodnih organizacija te institucija i tijela EU</t>
  </si>
  <si>
    <t>Tekuće pomoći od međunarodnih organizacija</t>
  </si>
  <si>
    <t>Prijenosi između proračunskih korisnika istog proračuna</t>
  </si>
  <si>
    <t>Tekući prijenosi između proračunskih korisnika istog proračuna</t>
  </si>
  <si>
    <t>Tekući prijenosi između proračunskih korisnika istog proračuna temeljem prijenosa EU sredstava</t>
  </si>
  <si>
    <t>Kamate za primljene kredite I zajmove od kreditnih I ostalih financijskih institucija izvan jevnog sektora</t>
  </si>
  <si>
    <t>Subvencije</t>
  </si>
  <si>
    <t>Subvencije trgovačkim društvima I zadrugama izvan javnog sekora</t>
  </si>
  <si>
    <t>Subvencije trgovačkim društvima I zadrugama, poljoprivrednicima I obrtnicima iz EU sredstava</t>
  </si>
  <si>
    <t>Pomoći dane u inozemstvo I unutar općeg proračuna</t>
  </si>
  <si>
    <t>Tekuće pomoći proračunskim korisnicima drugih proračuna</t>
  </si>
  <si>
    <t>Tekuće donacije u novcu</t>
  </si>
  <si>
    <t>Tekuće donacije iz EU sredstava</t>
  </si>
  <si>
    <t>Uređji, strojevi I oprema za ostale namjene</t>
  </si>
  <si>
    <t>Prijevozna sredstva u cestovnom prometu</t>
  </si>
  <si>
    <t>Prijevozna sredstva</t>
  </si>
  <si>
    <t>Rashodi za dodatna ulaganja na nefinancijskoj imovini</t>
  </si>
  <si>
    <t>Dodatna ulaganja na građevinskim objektima</t>
  </si>
  <si>
    <t>Naknade troškova osobama izvan radnog odnosa</t>
  </si>
  <si>
    <t>35 Subvencije</t>
  </si>
  <si>
    <t>36 Pomoći dane u inozemstvo i unutar općeg proračuan</t>
  </si>
  <si>
    <t>45 Rashodi za dodatna ulaganja u nefinancijsku imovinu</t>
  </si>
  <si>
    <t>7=5/3*100</t>
  </si>
  <si>
    <t>8.2.1. Namjenski primici od zaduživanja PK</t>
  </si>
  <si>
    <t>Primici od zaduživanja</t>
  </si>
  <si>
    <t>Primici od financijske imovine i zaduživanja</t>
  </si>
  <si>
    <t>Pomoći dane u inozemstvo i unutar općeg proračuna</t>
  </si>
  <si>
    <t>5.4.2 Pomoći PK - prenesena sredstva</t>
  </si>
  <si>
    <t>Rashodi za dodatna ulag.na nefinancij.imovini</t>
  </si>
  <si>
    <t>8.2.1 Namjenski primici od zaduživanja PK</t>
  </si>
  <si>
    <t xml:space="preserve">5.3.1 Pomoći EU </t>
  </si>
  <si>
    <t>1.2.1 Predfinanciranje EU projekata</t>
  </si>
  <si>
    <t xml:space="preserve">  35 Subvencije</t>
  </si>
  <si>
    <t xml:space="preserve">  36 Pomoći dane u inozemstvo i unutar općeg proračuan</t>
  </si>
  <si>
    <t xml:space="preserve">  45 Rashodi za dodatna ulaganja u nefinancijsku imovinu</t>
  </si>
  <si>
    <t>II. POSEBNI DIO</t>
  </si>
  <si>
    <t>IZVJEŠTAJ PO ORGANIZACIJSKOJ KLASIFIKACIJI</t>
  </si>
  <si>
    <t>IZVORNI PLAN ILI REBALANS N.*</t>
  </si>
  <si>
    <t>TEKUĆI PLAN N.*</t>
  </si>
  <si>
    <t xml:space="preserve"> IZVRŠENJE 
N. </t>
  </si>
  <si>
    <t>5=4/3*100</t>
  </si>
  <si>
    <t>RAZDJEL 004</t>
  </si>
  <si>
    <t>Upravni odjel za prosvjetu, kulturu, tehničku kulturu i sport</t>
  </si>
  <si>
    <t>GLAVA 004</t>
  </si>
  <si>
    <t>Ustanove u srednjem školstvu</t>
  </si>
  <si>
    <t>IZVJEŠTAJ PO PROGRAMSKOJ KLASIFIKACIJI</t>
  </si>
  <si>
    <t>5=4/2*100</t>
  </si>
  <si>
    <t>Razvoj odgojno obrazovnog sustava</t>
  </si>
  <si>
    <t>4001A400103</t>
  </si>
  <si>
    <t>Natjecanja, manifestacije i ostalo</t>
  </si>
  <si>
    <t>4001A400104</t>
  </si>
  <si>
    <t>e-Škole</t>
  </si>
  <si>
    <t xml:space="preserve">4001A400115 </t>
  </si>
  <si>
    <t>Osobni pomoćnici i pomoćnici u nastavi</t>
  </si>
  <si>
    <t xml:space="preserve">4001T400103 </t>
  </si>
  <si>
    <t>Čuvari baštine</t>
  </si>
  <si>
    <t>4001T400111</t>
  </si>
  <si>
    <t>Opskrba šk. ustanova hig. potr. za učenice</t>
  </si>
  <si>
    <t>4001T400120</t>
  </si>
  <si>
    <t>Učimo zajedno V</t>
  </si>
  <si>
    <t>4001T400121</t>
  </si>
  <si>
    <t>Učimo zajedno VI</t>
  </si>
  <si>
    <t>4001T400140</t>
  </si>
  <si>
    <t>Erasmus+</t>
  </si>
  <si>
    <t>Srednjoškolsko obrazovanje</t>
  </si>
  <si>
    <t>4040A404001</t>
  </si>
  <si>
    <t>Rashodi djelatnosti</t>
  </si>
  <si>
    <t>4040A404003</t>
  </si>
  <si>
    <t>Izgradnja i uređenje objekata te nabava i održavanje opreme</t>
  </si>
  <si>
    <t>4001A400105</t>
  </si>
  <si>
    <t>Nagrade učenicima</t>
  </si>
  <si>
    <t>4001K400103</t>
  </si>
  <si>
    <t>Uspostava RCK za elektrotehniku I računalstvo SDŽ</t>
  </si>
  <si>
    <t>Razvojni centar za elektrotehniku I računalstvo SDŽ</t>
  </si>
  <si>
    <t>4001K400104</t>
  </si>
  <si>
    <t>4001T400143</t>
  </si>
  <si>
    <t>Elektro SD</t>
  </si>
  <si>
    <t xml:space="preserve"> IZVRŠENJE
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</si>
</sst>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indexed="8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b/>
      <sz val="9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color theme="2"/>
      <name val="Calibri"/>
      <family val="2"/>
      <charset val="238"/>
      <scheme val="minor"/>
    </font>
    <font>
      <b/>
      <sz val="8"/>
      <name val="Arial"/>
      <family val="2"/>
      <charset val="238"/>
    </font>
    <font>
      <sz val="10"/>
      <color theme="2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4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indexed="8"/>
      <name val="Arial"/>
      <family val="2"/>
    </font>
    <font>
      <sz val="11"/>
      <name val="Calibri"/>
      <family val="2"/>
      <scheme val="minor"/>
    </font>
    <font>
      <sz val="8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9">
    <xf numFmtId="0" fontId="0" fillId="0" borderId="0" xfId="0"/>
    <xf numFmtId="0" fontId="6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" fillId="0" borderId="5" xfId="0" applyFont="1" applyBorder="1" applyAlignment="1">
      <alignment horizontal="center" vertical="center"/>
    </xf>
    <xf numFmtId="0" fontId="11" fillId="2" borderId="3" xfId="0" applyFont="1" applyFill="1" applyBorder="1" applyAlignment="1">
      <alignment horizontal="left"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 wrapText="1"/>
    </xf>
    <xf numFmtId="0" fontId="10" fillId="2" borderId="3" xfId="0" quotePrefix="1" applyFont="1" applyFill="1" applyBorder="1" applyAlignment="1">
      <alignment horizontal="left" vertical="center" wrapText="1"/>
    </xf>
    <xf numFmtId="0" fontId="7" fillId="0" borderId="0" xfId="0" quotePrefix="1" applyFont="1" applyAlignment="1">
      <alignment horizontal="left" wrapText="1"/>
    </xf>
    <xf numFmtId="0" fontId="8" fillId="0" borderId="0" xfId="0" applyFont="1" applyAlignment="1">
      <alignment wrapText="1"/>
    </xf>
    <xf numFmtId="3" fontId="5" fillId="0" borderId="0" xfId="0" applyNumberFormat="1" applyFont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3" fillId="0" borderId="0" xfId="0" applyFont="1"/>
    <xf numFmtId="3" fontId="6" fillId="0" borderId="3" xfId="0" applyNumberFormat="1" applyFont="1" applyBorder="1" applyAlignment="1">
      <alignment horizontal="right"/>
    </xf>
    <xf numFmtId="3" fontId="6" fillId="3" borderId="3" xfId="0" applyNumberFormat="1" applyFont="1" applyFill="1" applyBorder="1" applyAlignment="1">
      <alignment horizontal="right"/>
    </xf>
    <xf numFmtId="0" fontId="14" fillId="0" borderId="5" xfId="0" applyFont="1" applyBorder="1" applyAlignment="1">
      <alignment horizontal="right" vertical="center"/>
    </xf>
    <xf numFmtId="0" fontId="9" fillId="2" borderId="3" xfId="0" applyFont="1" applyFill="1" applyBorder="1" applyAlignment="1">
      <alignment vertical="center" wrapText="1"/>
    </xf>
    <xf numFmtId="0" fontId="11" fillId="2" borderId="3" xfId="0" quotePrefix="1" applyFont="1" applyFill="1" applyBorder="1" applyAlignment="1">
      <alignment horizontal="left" vertical="center"/>
    </xf>
    <xf numFmtId="0" fontId="6" fillId="0" borderId="3" xfId="0" quotePrefix="1" applyFont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0" borderId="3" xfId="0" quotePrefix="1" applyFont="1" applyBorder="1" applyAlignment="1">
      <alignment horizontal="center" vertical="center" wrapText="1"/>
    </xf>
    <xf numFmtId="0" fontId="16" fillId="0" borderId="0" xfId="0" applyFont="1"/>
    <xf numFmtId="0" fontId="9" fillId="2" borderId="3" xfId="0" quotePrefix="1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left" vertical="center" wrapText="1" indent="1"/>
    </xf>
    <xf numFmtId="0" fontId="10" fillId="2" borderId="3" xfId="0" applyFont="1" applyFill="1" applyBorder="1" applyAlignment="1">
      <alignment horizontal="left" vertical="center"/>
    </xf>
    <xf numFmtId="0" fontId="11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wrapText="1"/>
    </xf>
    <xf numFmtId="0" fontId="6" fillId="3" borderId="3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0" fillId="2" borderId="0" xfId="0" applyFill="1"/>
    <xf numFmtId="4" fontId="3" fillId="2" borderId="3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>
      <alignment horizontal="right" wrapText="1"/>
    </xf>
    <xf numFmtId="4" fontId="0" fillId="0" borderId="3" xfId="0" applyNumberFormat="1" applyBorder="1"/>
    <xf numFmtId="4" fontId="6" fillId="3" borderId="3" xfId="0" applyNumberFormat="1" applyFont="1" applyFill="1" applyBorder="1" applyAlignment="1">
      <alignment horizontal="right"/>
    </xf>
    <xf numFmtId="4" fontId="6" fillId="0" borderId="3" xfId="0" applyNumberFormat="1" applyFont="1" applyBorder="1" applyAlignment="1">
      <alignment horizontal="right"/>
    </xf>
    <xf numFmtId="4" fontId="6" fillId="3" borderId="3" xfId="0" applyNumberFormat="1" applyFont="1" applyFill="1" applyBorder="1" applyAlignment="1">
      <alignment horizontal="right" wrapText="1"/>
    </xf>
    <xf numFmtId="4" fontId="3" fillId="0" borderId="3" xfId="0" applyNumberFormat="1" applyFont="1" applyBorder="1" applyAlignment="1">
      <alignment horizontal="right"/>
    </xf>
    <xf numFmtId="0" fontId="6" fillId="2" borderId="0" xfId="0" applyFont="1" applyFill="1" applyAlignment="1">
      <alignment horizontal="left" vertical="center" wrapText="1"/>
    </xf>
    <xf numFmtId="3" fontId="6" fillId="2" borderId="0" xfId="0" applyNumberFormat="1" applyFont="1" applyFill="1" applyAlignment="1">
      <alignment horizontal="right"/>
    </xf>
    <xf numFmtId="0" fontId="9" fillId="5" borderId="3" xfId="0" quotePrefix="1" applyFont="1" applyFill="1" applyBorder="1" applyAlignment="1">
      <alignment horizontal="left" vertical="center"/>
    </xf>
    <xf numFmtId="0" fontId="11" fillId="5" borderId="3" xfId="0" quotePrefix="1" applyFont="1" applyFill="1" applyBorder="1" applyAlignment="1">
      <alignment horizontal="left" vertical="center"/>
    </xf>
    <xf numFmtId="0" fontId="10" fillId="5" borderId="3" xfId="0" quotePrefix="1" applyFont="1" applyFill="1" applyBorder="1" applyAlignment="1">
      <alignment horizontal="left" vertical="center"/>
    </xf>
    <xf numFmtId="0" fontId="9" fillId="5" borderId="3" xfId="0" applyFont="1" applyFill="1" applyBorder="1" applyAlignment="1">
      <alignment horizontal="left" vertical="center" wrapText="1"/>
    </xf>
    <xf numFmtId="0" fontId="11" fillId="6" borderId="3" xfId="0" applyFont="1" applyFill="1" applyBorder="1" applyAlignment="1">
      <alignment horizontal="left" vertical="center" wrapText="1"/>
    </xf>
    <xf numFmtId="0" fontId="9" fillId="6" borderId="3" xfId="0" applyFont="1" applyFill="1" applyBorder="1" applyAlignment="1">
      <alignment horizontal="left" vertical="center" wrapText="1"/>
    </xf>
    <xf numFmtId="0" fontId="9" fillId="6" borderId="3" xfId="0" quotePrefix="1" applyFont="1" applyFill="1" applyBorder="1" applyAlignment="1">
      <alignment horizontal="left" vertical="center"/>
    </xf>
    <xf numFmtId="0" fontId="10" fillId="6" borderId="3" xfId="0" quotePrefix="1" applyFont="1" applyFill="1" applyBorder="1" applyAlignment="1">
      <alignment horizontal="left" vertical="center"/>
    </xf>
    <xf numFmtId="0" fontId="11" fillId="6" borderId="3" xfId="0" quotePrefix="1" applyFont="1" applyFill="1" applyBorder="1" applyAlignment="1">
      <alignment horizontal="left" vertical="center"/>
    </xf>
    <xf numFmtId="0" fontId="9" fillId="6" borderId="3" xfId="0" applyFont="1" applyFill="1" applyBorder="1" applyAlignment="1">
      <alignment vertical="center" wrapText="1"/>
    </xf>
    <xf numFmtId="0" fontId="11" fillId="4" borderId="3" xfId="0" applyFont="1" applyFill="1" applyBorder="1" applyAlignment="1">
      <alignment horizontal="left" vertical="center" wrapText="1"/>
    </xf>
    <xf numFmtId="0" fontId="11" fillId="4" borderId="3" xfId="0" applyFont="1" applyFill="1" applyBorder="1" applyAlignment="1">
      <alignment horizontal="left" vertical="center"/>
    </xf>
    <xf numFmtId="0" fontId="11" fillId="4" borderId="3" xfId="0" applyFont="1" applyFill="1" applyBorder="1" applyAlignment="1">
      <alignment vertical="center" wrapText="1"/>
    </xf>
    <xf numFmtId="0" fontId="11" fillId="7" borderId="3" xfId="0" applyFont="1" applyFill="1" applyBorder="1" applyAlignment="1">
      <alignment horizontal="left" vertical="center" wrapText="1"/>
    </xf>
    <xf numFmtId="0" fontId="0" fillId="7" borderId="0" xfId="0" applyFill="1"/>
    <xf numFmtId="4" fontId="1" fillId="7" borderId="3" xfId="0" applyNumberFormat="1" applyFont="1" applyFill="1" applyBorder="1"/>
    <xf numFmtId="4" fontId="1" fillId="4" borderId="3" xfId="0" applyNumberFormat="1" applyFont="1" applyFill="1" applyBorder="1"/>
    <xf numFmtId="4" fontId="3" fillId="7" borderId="3" xfId="0" applyNumberFormat="1" applyFont="1" applyFill="1" applyBorder="1" applyAlignment="1">
      <alignment horizontal="right"/>
    </xf>
    <xf numFmtId="4" fontId="3" fillId="6" borderId="3" xfId="0" applyNumberFormat="1" applyFont="1" applyFill="1" applyBorder="1" applyAlignment="1">
      <alignment horizontal="right"/>
    </xf>
    <xf numFmtId="4" fontId="9" fillId="5" borderId="3" xfId="0" applyNumberFormat="1" applyFont="1" applyFill="1" applyBorder="1" applyAlignment="1">
      <alignment horizontal="right"/>
    </xf>
    <xf numFmtId="4" fontId="19" fillId="5" borderId="3" xfId="0" applyNumberFormat="1" applyFont="1" applyFill="1" applyBorder="1"/>
    <xf numFmtId="4" fontId="3" fillId="5" borderId="3" xfId="0" applyNumberFormat="1" applyFont="1" applyFill="1" applyBorder="1" applyAlignment="1">
      <alignment horizontal="right"/>
    </xf>
    <xf numFmtId="4" fontId="0" fillId="5" borderId="3" xfId="0" applyNumberFormat="1" applyFill="1" applyBorder="1"/>
    <xf numFmtId="4" fontId="3" fillId="6" borderId="3" xfId="0" applyNumberFormat="1" applyFont="1" applyFill="1" applyBorder="1" applyAlignment="1">
      <alignment horizontal="right" wrapText="1"/>
    </xf>
    <xf numFmtId="4" fontId="3" fillId="5" borderId="3" xfId="0" applyNumberFormat="1" applyFont="1" applyFill="1" applyBorder="1" applyAlignment="1">
      <alignment horizontal="right" wrapText="1"/>
    </xf>
    <xf numFmtId="4" fontId="1" fillId="6" borderId="3" xfId="0" applyNumberFormat="1" applyFont="1" applyFill="1" applyBorder="1"/>
    <xf numFmtId="0" fontId="9" fillId="5" borderId="3" xfId="0" quotePrefix="1" applyFont="1" applyFill="1" applyBorder="1" applyAlignment="1">
      <alignment horizontal="left" vertical="center" wrapText="1"/>
    </xf>
    <xf numFmtId="4" fontId="0" fillId="2" borderId="3" xfId="0" applyNumberFormat="1" applyFill="1" applyBorder="1"/>
    <xf numFmtId="4" fontId="1" fillId="5" borderId="3" xfId="0" applyNumberFormat="1" applyFont="1" applyFill="1" applyBorder="1"/>
    <xf numFmtId="4" fontId="6" fillId="6" borderId="3" xfId="0" applyNumberFormat="1" applyFont="1" applyFill="1" applyBorder="1" applyAlignment="1">
      <alignment horizontal="right"/>
    </xf>
    <xf numFmtId="4" fontId="6" fillId="4" borderId="3" xfId="0" applyNumberFormat="1" applyFont="1" applyFill="1" applyBorder="1" applyAlignment="1">
      <alignment horizontal="right"/>
    </xf>
    <xf numFmtId="4" fontId="6" fillId="7" borderId="3" xfId="0" applyNumberFormat="1" applyFont="1" applyFill="1" applyBorder="1" applyAlignment="1">
      <alignment horizontal="right"/>
    </xf>
    <xf numFmtId="0" fontId="19" fillId="2" borderId="0" xfId="0" applyFont="1" applyFill="1"/>
    <xf numFmtId="0" fontId="11" fillId="3" borderId="3" xfId="0" applyFont="1" applyFill="1" applyBorder="1" applyAlignment="1">
      <alignment horizontal="left" vertical="center" wrapText="1"/>
    </xf>
    <xf numFmtId="0" fontId="11" fillId="5" borderId="3" xfId="0" applyFont="1" applyFill="1" applyBorder="1" applyAlignment="1">
      <alignment horizontal="left" vertical="center" wrapText="1"/>
    </xf>
    <xf numFmtId="4" fontId="6" fillId="5" borderId="3" xfId="0" applyNumberFormat="1" applyFont="1" applyFill="1" applyBorder="1" applyAlignment="1">
      <alignment horizontal="right"/>
    </xf>
    <xf numFmtId="4" fontId="11" fillId="2" borderId="3" xfId="0" applyNumberFormat="1" applyFont="1" applyFill="1" applyBorder="1" applyAlignment="1">
      <alignment horizontal="right"/>
    </xf>
    <xf numFmtId="4" fontId="9" fillId="2" borderId="3" xfId="0" applyNumberFormat="1" applyFont="1" applyFill="1" applyBorder="1" applyAlignment="1">
      <alignment horizontal="right"/>
    </xf>
    <xf numFmtId="4" fontId="19" fillId="2" borderId="3" xfId="0" applyNumberFormat="1" applyFont="1" applyFill="1" applyBorder="1"/>
    <xf numFmtId="4" fontId="9" fillId="2" borderId="3" xfId="0" applyNumberFormat="1" applyFont="1" applyFill="1" applyBorder="1" applyAlignment="1">
      <alignment horizontal="right" wrapText="1"/>
    </xf>
    <xf numFmtId="0" fontId="11" fillId="5" borderId="3" xfId="0" applyFont="1" applyFill="1" applyBorder="1" applyAlignment="1">
      <alignment horizontal="left" vertical="center"/>
    </xf>
    <xf numFmtId="0" fontId="11" fillId="5" borderId="3" xfId="0" applyFont="1" applyFill="1" applyBorder="1" applyAlignment="1">
      <alignment vertical="center" wrapText="1"/>
    </xf>
    <xf numFmtId="0" fontId="0" fillId="7" borderId="1" xfId="0" applyFill="1" applyBorder="1"/>
    <xf numFmtId="0" fontId="1" fillId="7" borderId="0" xfId="0" applyFont="1" applyFill="1"/>
    <xf numFmtId="14" fontId="11" fillId="7" borderId="3" xfId="0" applyNumberFormat="1" applyFont="1" applyFill="1" applyBorder="1" applyAlignment="1">
      <alignment horizontal="left" vertical="center" wrapText="1"/>
    </xf>
    <xf numFmtId="2" fontId="0" fillId="6" borderId="3" xfId="0" applyNumberFormat="1" applyFill="1" applyBorder="1" applyAlignment="1">
      <alignment horizontal="center"/>
    </xf>
    <xf numFmtId="2" fontId="0" fillId="5" borderId="3" xfId="0" applyNumberFormat="1" applyFill="1" applyBorder="1" applyAlignment="1">
      <alignment horizontal="center"/>
    </xf>
    <xf numFmtId="2" fontId="0" fillId="2" borderId="3" xfId="0" applyNumberFormat="1" applyFill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19" fillId="5" borderId="3" xfId="0" applyNumberFormat="1" applyFont="1" applyFill="1" applyBorder="1" applyAlignment="1">
      <alignment horizontal="center"/>
    </xf>
    <xf numFmtId="2" fontId="1" fillId="7" borderId="3" xfId="0" applyNumberFormat="1" applyFont="1" applyFill="1" applyBorder="1" applyAlignment="1">
      <alignment horizontal="center"/>
    </xf>
    <xf numFmtId="2" fontId="1" fillId="4" borderId="3" xfId="0" applyNumberFormat="1" applyFont="1" applyFill="1" applyBorder="1" applyAlignment="1">
      <alignment horizontal="center"/>
    </xf>
    <xf numFmtId="2" fontId="1" fillId="6" borderId="3" xfId="0" applyNumberFormat="1" applyFont="1" applyFill="1" applyBorder="1" applyAlignment="1">
      <alignment horizontal="center"/>
    </xf>
    <xf numFmtId="0" fontId="22" fillId="0" borderId="0" xfId="0" applyFont="1"/>
    <xf numFmtId="2" fontId="6" fillId="3" borderId="3" xfId="0" applyNumberFormat="1" applyFont="1" applyFill="1" applyBorder="1" applyAlignment="1">
      <alignment horizontal="center" vertical="center" wrapText="1"/>
    </xf>
    <xf numFmtId="2" fontId="15" fillId="3" borderId="3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2" fontId="3" fillId="0" borderId="0" xfId="0" applyNumberFormat="1" applyFont="1" applyAlignment="1">
      <alignment horizontal="center" vertical="center" wrapText="1"/>
    </xf>
    <xf numFmtId="2" fontId="19" fillId="2" borderId="3" xfId="0" applyNumberFormat="1" applyFont="1" applyFill="1" applyBorder="1" applyAlignment="1">
      <alignment horizontal="center"/>
    </xf>
    <xf numFmtId="0" fontId="19" fillId="0" borderId="0" xfId="0" applyFont="1"/>
    <xf numFmtId="4" fontId="20" fillId="7" borderId="3" xfId="0" applyNumberFormat="1" applyFont="1" applyFill="1" applyBorder="1" applyAlignment="1">
      <alignment horizontal="right"/>
    </xf>
    <xf numFmtId="4" fontId="1" fillId="3" borderId="3" xfId="0" applyNumberFormat="1" applyFont="1" applyFill="1" applyBorder="1"/>
    <xf numFmtId="2" fontId="1" fillId="3" borderId="3" xfId="0" applyNumberFormat="1" applyFont="1" applyFill="1" applyBorder="1" applyAlignment="1">
      <alignment horizontal="center"/>
    </xf>
    <xf numFmtId="4" fontId="20" fillId="3" borderId="3" xfId="0" applyNumberFormat="1" applyFont="1" applyFill="1" applyBorder="1" applyAlignment="1">
      <alignment horizontal="right"/>
    </xf>
    <xf numFmtId="4" fontId="6" fillId="2" borderId="3" xfId="0" applyNumberFormat="1" applyFont="1" applyFill="1" applyBorder="1" applyAlignment="1">
      <alignment horizontal="right"/>
    </xf>
    <xf numFmtId="4" fontId="1" fillId="2" borderId="3" xfId="0" applyNumberFormat="1" applyFont="1" applyFill="1" applyBorder="1"/>
    <xf numFmtId="4" fontId="0" fillId="0" borderId="0" xfId="0" applyNumberFormat="1"/>
    <xf numFmtId="4" fontId="1" fillId="7" borderId="0" xfId="0" applyNumberFormat="1" applyFont="1" applyFill="1"/>
    <xf numFmtId="2" fontId="1" fillId="5" borderId="3" xfId="0" applyNumberFormat="1" applyFont="1" applyFill="1" applyBorder="1" applyAlignment="1">
      <alignment horizontal="center"/>
    </xf>
    <xf numFmtId="2" fontId="1" fillId="7" borderId="0" xfId="0" applyNumberFormat="1" applyFont="1" applyFill="1" applyAlignment="1">
      <alignment horizontal="center"/>
    </xf>
    <xf numFmtId="0" fontId="22" fillId="2" borderId="0" xfId="0" applyFont="1" applyFill="1"/>
    <xf numFmtId="2" fontId="22" fillId="8" borderId="3" xfId="0" applyNumberFormat="1" applyFont="1" applyFill="1" applyBorder="1" applyAlignment="1">
      <alignment horizontal="center"/>
    </xf>
    <xf numFmtId="0" fontId="9" fillId="8" borderId="3" xfId="0" quotePrefix="1" applyFont="1" applyFill="1" applyBorder="1" applyAlignment="1">
      <alignment horizontal="left" vertical="center"/>
    </xf>
    <xf numFmtId="0" fontId="11" fillId="8" borderId="3" xfId="0" quotePrefix="1" applyFont="1" applyFill="1" applyBorder="1" applyAlignment="1">
      <alignment horizontal="left" vertical="center"/>
    </xf>
    <xf numFmtId="0" fontId="10" fillId="8" borderId="3" xfId="0" quotePrefix="1" applyFont="1" applyFill="1" applyBorder="1" applyAlignment="1">
      <alignment horizontal="left" vertical="center"/>
    </xf>
    <xf numFmtId="0" fontId="9" fillId="8" borderId="3" xfId="0" applyFont="1" applyFill="1" applyBorder="1" applyAlignment="1">
      <alignment horizontal="left" vertical="center" wrapText="1"/>
    </xf>
    <xf numFmtId="4" fontId="3" fillId="8" borderId="3" xfId="0" applyNumberFormat="1" applyFont="1" applyFill="1" applyBorder="1" applyAlignment="1">
      <alignment horizontal="right"/>
    </xf>
    <xf numFmtId="4" fontId="0" fillId="8" borderId="3" xfId="0" applyNumberFormat="1" applyFill="1" applyBorder="1"/>
    <xf numFmtId="2" fontId="0" fillId="8" borderId="3" xfId="0" applyNumberFormat="1" applyFill="1" applyBorder="1" applyAlignment="1">
      <alignment horizontal="center"/>
    </xf>
    <xf numFmtId="0" fontId="9" fillId="4" borderId="3" xfId="0" quotePrefix="1" applyFont="1" applyFill="1" applyBorder="1" applyAlignment="1">
      <alignment horizontal="left" vertical="center"/>
    </xf>
    <xf numFmtId="2" fontId="0" fillId="4" borderId="3" xfId="0" applyNumberFormat="1" applyFill="1" applyBorder="1" applyAlignment="1">
      <alignment horizontal="center"/>
    </xf>
    <xf numFmtId="0" fontId="11" fillId="4" borderId="3" xfId="0" quotePrefix="1" applyFont="1" applyFill="1" applyBorder="1" applyAlignment="1">
      <alignment horizontal="left" vertical="center"/>
    </xf>
    <xf numFmtId="0" fontId="11" fillId="4" borderId="3" xfId="0" quotePrefix="1" applyFont="1" applyFill="1" applyBorder="1" applyAlignment="1">
      <alignment horizontal="left" vertical="center" wrapText="1"/>
    </xf>
    <xf numFmtId="0" fontId="9" fillId="7" borderId="3" xfId="0" applyFont="1" applyFill="1" applyBorder="1" applyAlignment="1">
      <alignment horizontal="left" vertical="center" wrapText="1"/>
    </xf>
    <xf numFmtId="4" fontId="9" fillId="7" borderId="3" xfId="0" applyNumberFormat="1" applyFont="1" applyFill="1" applyBorder="1" applyAlignment="1">
      <alignment horizontal="right"/>
    </xf>
    <xf numFmtId="2" fontId="19" fillId="7" borderId="3" xfId="0" applyNumberFormat="1" applyFont="1" applyFill="1" applyBorder="1" applyAlignment="1">
      <alignment horizontal="center"/>
    </xf>
    <xf numFmtId="4" fontId="11" fillId="7" borderId="3" xfId="0" applyNumberFormat="1" applyFont="1" applyFill="1" applyBorder="1" applyAlignment="1">
      <alignment horizontal="right"/>
    </xf>
    <xf numFmtId="0" fontId="11" fillId="8" borderId="3" xfId="0" applyFont="1" applyFill="1" applyBorder="1" applyAlignment="1">
      <alignment horizontal="left" vertical="center" wrapText="1"/>
    </xf>
    <xf numFmtId="4" fontId="9" fillId="8" borderId="3" xfId="0" applyNumberFormat="1" applyFont="1" applyFill="1" applyBorder="1" applyAlignment="1">
      <alignment horizontal="right"/>
    </xf>
    <xf numFmtId="4" fontId="11" fillId="8" borderId="3" xfId="0" applyNumberFormat="1" applyFont="1" applyFill="1" applyBorder="1" applyAlignment="1">
      <alignment horizontal="right"/>
    </xf>
    <xf numFmtId="2" fontId="19" fillId="8" borderId="3" xfId="0" applyNumberFormat="1" applyFont="1" applyFill="1" applyBorder="1" applyAlignment="1">
      <alignment horizontal="center"/>
    </xf>
    <xf numFmtId="2" fontId="1" fillId="2" borderId="3" xfId="0" applyNumberFormat="1" applyFont="1" applyFill="1" applyBorder="1" applyAlignment="1">
      <alignment horizontal="center"/>
    </xf>
    <xf numFmtId="4" fontId="6" fillId="8" borderId="3" xfId="0" applyNumberFormat="1" applyFont="1" applyFill="1" applyBorder="1" applyAlignment="1">
      <alignment horizontal="right"/>
    </xf>
    <xf numFmtId="4" fontId="1" fillId="8" borderId="3" xfId="0" applyNumberFormat="1" applyFont="1" applyFill="1" applyBorder="1"/>
    <xf numFmtId="2" fontId="1" fillId="8" borderId="3" xfId="0" applyNumberFormat="1" applyFont="1" applyFill="1" applyBorder="1" applyAlignment="1">
      <alignment horizontal="center"/>
    </xf>
    <xf numFmtId="0" fontId="11" fillId="2" borderId="3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11" fillId="7" borderId="3" xfId="0" applyFont="1" applyFill="1" applyBorder="1" applyAlignment="1">
      <alignment horizontal="left" vertical="center"/>
    </xf>
    <xf numFmtId="0" fontId="11" fillId="7" borderId="3" xfId="0" applyFont="1" applyFill="1" applyBorder="1" applyAlignment="1">
      <alignment vertical="center" wrapText="1"/>
    </xf>
    <xf numFmtId="0" fontId="11" fillId="8" borderId="3" xfId="0" applyFont="1" applyFill="1" applyBorder="1" applyAlignment="1">
      <alignment horizontal="left" vertical="center"/>
    </xf>
    <xf numFmtId="0" fontId="11" fillId="8" borderId="3" xfId="0" applyFont="1" applyFill="1" applyBorder="1" applyAlignment="1">
      <alignment vertical="center" wrapText="1"/>
    </xf>
    <xf numFmtId="4" fontId="21" fillId="7" borderId="3" xfId="0" applyNumberFormat="1" applyFont="1" applyFill="1" applyBorder="1"/>
    <xf numFmtId="4" fontId="21" fillId="8" borderId="3" xfId="0" applyNumberFormat="1" applyFont="1" applyFill="1" applyBorder="1"/>
    <xf numFmtId="4" fontId="26" fillId="2" borderId="3" xfId="0" applyNumberFormat="1" applyFont="1" applyFill="1" applyBorder="1"/>
    <xf numFmtId="0" fontId="24" fillId="9" borderId="3" xfId="0" quotePrefix="1" applyFont="1" applyFill="1" applyBorder="1" applyAlignment="1">
      <alignment horizontal="left" vertical="center"/>
    </xf>
    <xf numFmtId="0" fontId="25" fillId="9" borderId="3" xfId="0" quotePrefix="1" applyFont="1" applyFill="1" applyBorder="1" applyAlignment="1">
      <alignment horizontal="left" vertical="center"/>
    </xf>
    <xf numFmtId="4" fontId="25" fillId="9" borderId="3" xfId="0" applyNumberFormat="1" applyFont="1" applyFill="1" applyBorder="1" applyAlignment="1">
      <alignment horizontal="right"/>
    </xf>
    <xf numFmtId="4" fontId="0" fillId="9" borderId="3" xfId="0" applyNumberFormat="1" applyFill="1" applyBorder="1"/>
    <xf numFmtId="0" fontId="9" fillId="9" borderId="3" xfId="0" quotePrefix="1" applyFont="1" applyFill="1" applyBorder="1" applyAlignment="1">
      <alignment horizontal="left" vertical="center"/>
    </xf>
    <xf numFmtId="0" fontId="9" fillId="9" borderId="3" xfId="0" quotePrefix="1" applyFont="1" applyFill="1" applyBorder="1" applyAlignment="1">
      <alignment horizontal="left" vertical="center" wrapText="1"/>
    </xf>
    <xf numFmtId="4" fontId="3" fillId="9" borderId="3" xfId="0" applyNumberFormat="1" applyFont="1" applyFill="1" applyBorder="1" applyAlignment="1">
      <alignment horizontal="right"/>
    </xf>
    <xf numFmtId="4" fontId="26" fillId="6" borderId="3" xfId="0" applyNumberFormat="1" applyFont="1" applyFill="1" applyBorder="1"/>
    <xf numFmtId="0" fontId="11" fillId="9" borderId="3" xfId="0" quotePrefix="1" applyFont="1" applyFill="1" applyBorder="1" applyAlignment="1">
      <alignment horizontal="left" vertical="center"/>
    </xf>
    <xf numFmtId="0" fontId="10" fillId="9" borderId="3" xfId="0" quotePrefix="1" applyFont="1" applyFill="1" applyBorder="1" applyAlignment="1">
      <alignment horizontal="left" vertical="center"/>
    </xf>
    <xf numFmtId="2" fontId="0" fillId="9" borderId="3" xfId="0" applyNumberFormat="1" applyFill="1" applyBorder="1" applyAlignment="1">
      <alignment horizontal="center"/>
    </xf>
    <xf numFmtId="4" fontId="19" fillId="0" borderId="3" xfId="0" applyNumberFormat="1" applyFont="1" applyBorder="1"/>
    <xf numFmtId="4" fontId="3" fillId="8" borderId="3" xfId="0" applyNumberFormat="1" applyFont="1" applyFill="1" applyBorder="1" applyAlignment="1">
      <alignment horizontal="right" wrapText="1"/>
    </xf>
    <xf numFmtId="4" fontId="27" fillId="9" borderId="3" xfId="0" applyNumberFormat="1" applyFont="1" applyFill="1" applyBorder="1"/>
    <xf numFmtId="0" fontId="11" fillId="3" borderId="3" xfId="0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4" fontId="6" fillId="3" borderId="3" xfId="0" applyNumberFormat="1" applyFont="1" applyFill="1" applyBorder="1" applyAlignment="1">
      <alignment horizontal="center" vertical="center" wrapText="1"/>
    </xf>
    <xf numFmtId="4" fontId="15" fillId="3" borderId="3" xfId="0" applyNumberFormat="1" applyFont="1" applyFill="1" applyBorder="1" applyAlignment="1">
      <alignment horizontal="center" vertical="center" wrapText="1"/>
    </xf>
    <xf numFmtId="4" fontId="28" fillId="4" borderId="3" xfId="0" applyNumberFormat="1" applyFont="1" applyFill="1" applyBorder="1" applyAlignment="1">
      <alignment horizontal="right"/>
    </xf>
    <xf numFmtId="4" fontId="19" fillId="8" borderId="3" xfId="0" applyNumberFormat="1" applyFont="1" applyFill="1" applyBorder="1"/>
    <xf numFmtId="4" fontId="30" fillId="8" borderId="3" xfId="0" applyNumberFormat="1" applyFont="1" applyFill="1" applyBorder="1" applyAlignment="1">
      <alignment horizontal="right"/>
    </xf>
    <xf numFmtId="4" fontId="29" fillId="5" borderId="3" xfId="0" applyNumberFormat="1" applyFont="1" applyFill="1" applyBorder="1" applyAlignment="1">
      <alignment horizontal="right"/>
    </xf>
    <xf numFmtId="4" fontId="31" fillId="0" borderId="0" xfId="0" applyNumberFormat="1" applyFont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2" fillId="0" borderId="0" xfId="0" applyFont="1" applyAlignment="1">
      <alignment vertical="center" wrapText="1"/>
    </xf>
    <xf numFmtId="0" fontId="10" fillId="2" borderId="3" xfId="0" applyFont="1" applyFill="1" applyBorder="1" applyAlignment="1">
      <alignment horizontal="left" vertical="center" wrapText="1"/>
    </xf>
    <xf numFmtId="4" fontId="33" fillId="6" borderId="3" xfId="0" applyNumberFormat="1" applyFont="1" applyFill="1" applyBorder="1" applyAlignment="1">
      <alignment horizontal="right"/>
    </xf>
    <xf numFmtId="4" fontId="33" fillId="9" borderId="3" xfId="0" applyNumberFormat="1" applyFont="1" applyFill="1" applyBorder="1" applyAlignment="1">
      <alignment horizontal="right"/>
    </xf>
    <xf numFmtId="16" fontId="0" fillId="0" borderId="0" xfId="0" applyNumberFormat="1"/>
    <xf numFmtId="0" fontId="11" fillId="2" borderId="0" xfId="0" applyFont="1" applyFill="1" applyAlignment="1">
      <alignment horizontal="left" vertical="center" wrapText="1"/>
    </xf>
    <xf numFmtId="0" fontId="9" fillId="2" borderId="0" xfId="0" applyFont="1" applyFill="1" applyAlignment="1">
      <alignment horizontal="left" vertical="center" wrapText="1"/>
    </xf>
    <xf numFmtId="4" fontId="9" fillId="2" borderId="0" xfId="0" applyNumberFormat="1" applyFont="1" applyFill="1" applyAlignment="1">
      <alignment horizontal="right"/>
    </xf>
    <xf numFmtId="4" fontId="19" fillId="2" borderId="0" xfId="0" applyNumberFormat="1" applyFont="1" applyFill="1"/>
    <xf numFmtId="2" fontId="19" fillId="2" borderId="0" xfId="0" applyNumberFormat="1" applyFont="1" applyFill="1" applyAlignment="1">
      <alignment horizontal="center"/>
    </xf>
    <xf numFmtId="4" fontId="26" fillId="8" borderId="3" xfId="0" applyNumberFormat="1" applyFont="1" applyFill="1" applyBorder="1"/>
    <xf numFmtId="4" fontId="29" fillId="8" borderId="3" xfId="0" applyNumberFormat="1" applyFont="1" applyFill="1" applyBorder="1" applyAlignment="1">
      <alignment horizontal="right"/>
    </xf>
    <xf numFmtId="4" fontId="28" fillId="2" borderId="3" xfId="0" applyNumberFormat="1" applyFont="1" applyFill="1" applyBorder="1" applyAlignment="1">
      <alignment horizontal="right"/>
    </xf>
    <xf numFmtId="0" fontId="0" fillId="0" borderId="3" xfId="0" applyBorder="1"/>
    <xf numFmtId="4" fontId="34" fillId="2" borderId="3" xfId="0" applyNumberFormat="1" applyFont="1" applyFill="1" applyBorder="1"/>
    <xf numFmtId="2" fontId="26" fillId="5" borderId="3" xfId="0" applyNumberFormat="1" applyFont="1" applyFill="1" applyBorder="1" applyAlignment="1">
      <alignment horizontal="center"/>
    </xf>
    <xf numFmtId="4" fontId="30" fillId="2" borderId="3" xfId="0" applyNumberFormat="1" applyFont="1" applyFill="1" applyBorder="1" applyAlignment="1">
      <alignment horizontal="right"/>
    </xf>
    <xf numFmtId="4" fontId="27" fillId="7" borderId="0" xfId="0" applyNumberFormat="1" applyFont="1" applyFill="1"/>
    <xf numFmtId="4" fontId="28" fillId="7" borderId="3" xfId="0" applyNumberFormat="1" applyFont="1" applyFill="1" applyBorder="1" applyAlignment="1">
      <alignment horizontal="right"/>
    </xf>
    <xf numFmtId="2" fontId="0" fillId="3" borderId="3" xfId="0" applyNumberFormat="1" applyFill="1" applyBorder="1" applyAlignment="1">
      <alignment horizontal="center"/>
    </xf>
    <xf numFmtId="0" fontId="9" fillId="2" borderId="0" xfId="0" quotePrefix="1" applyFont="1" applyFill="1" applyAlignment="1">
      <alignment horizontal="left" vertical="center"/>
    </xf>
    <xf numFmtId="0" fontId="9" fillId="2" borderId="0" xfId="0" quotePrefix="1" applyFont="1" applyFill="1" applyAlignment="1">
      <alignment horizontal="left" vertical="center" wrapText="1"/>
    </xf>
    <xf numFmtId="4" fontId="3" fillId="2" borderId="0" xfId="0" applyNumberFormat="1" applyFont="1" applyFill="1" applyAlignment="1">
      <alignment horizontal="right"/>
    </xf>
    <xf numFmtId="2" fontId="0" fillId="2" borderId="0" xfId="0" applyNumberFormat="1" applyFill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18" fillId="0" borderId="5" xfId="0" applyFont="1" applyBorder="1" applyAlignment="1">
      <alignment horizontal="left" wrapText="1"/>
    </xf>
    <xf numFmtId="0" fontId="6" fillId="0" borderId="3" xfId="0" quotePrefix="1" applyFont="1" applyBorder="1" applyAlignment="1">
      <alignment horizontal="center" wrapText="1"/>
    </xf>
    <xf numFmtId="0" fontId="15" fillId="0" borderId="3" xfId="0" quotePrefix="1" applyFont="1" applyBorder="1" applyAlignment="1">
      <alignment horizontal="center" wrapText="1"/>
    </xf>
    <xf numFmtId="0" fontId="11" fillId="0" borderId="3" xfId="0" applyFont="1" applyBorder="1" applyAlignment="1">
      <alignment horizontal="left" vertical="center" wrapText="1"/>
    </xf>
    <xf numFmtId="0" fontId="11" fillId="3" borderId="3" xfId="0" applyFont="1" applyFill="1" applyBorder="1" applyAlignment="1">
      <alignment horizontal="left" vertical="center" wrapText="1"/>
    </xf>
    <xf numFmtId="0" fontId="9" fillId="3" borderId="3" xfId="0" applyFont="1" applyFill="1" applyBorder="1" applyAlignment="1">
      <alignment vertical="center" wrapText="1"/>
    </xf>
    <xf numFmtId="0" fontId="9" fillId="3" borderId="3" xfId="0" applyFont="1" applyFill="1" applyBorder="1" applyAlignment="1">
      <alignment vertical="center"/>
    </xf>
    <xf numFmtId="0" fontId="9" fillId="0" borderId="3" xfId="0" applyFont="1" applyBorder="1" applyAlignment="1">
      <alignment vertical="center" wrapText="1"/>
    </xf>
    <xf numFmtId="0" fontId="9" fillId="0" borderId="3" xfId="0" applyFont="1" applyBorder="1" applyAlignment="1">
      <alignment vertical="center"/>
    </xf>
    <xf numFmtId="0" fontId="13" fillId="0" borderId="0" xfId="0" applyFont="1" applyAlignment="1">
      <alignment vertical="center" wrapText="1"/>
    </xf>
    <xf numFmtId="0" fontId="17" fillId="0" borderId="0" xfId="0" applyFont="1" applyAlignment="1">
      <alignment horizontal="left" vertical="center" wrapText="1"/>
    </xf>
    <xf numFmtId="0" fontId="12" fillId="0" borderId="0" xfId="0" applyFont="1" applyAlignment="1">
      <alignment wrapText="1"/>
    </xf>
    <xf numFmtId="0" fontId="11" fillId="0" borderId="3" xfId="0" quotePrefix="1" applyFont="1" applyBorder="1" applyAlignment="1">
      <alignment horizontal="left" vertical="center"/>
    </xf>
    <xf numFmtId="0" fontId="11" fillId="3" borderId="3" xfId="0" quotePrefix="1" applyFont="1" applyFill="1" applyBorder="1" applyAlignment="1">
      <alignment horizontal="left" vertical="center" wrapText="1"/>
    </xf>
    <xf numFmtId="0" fontId="11" fillId="0" borderId="3" xfId="0" quotePrefix="1" applyFont="1" applyBorder="1" applyAlignment="1">
      <alignment horizontal="left" vertical="center" wrapText="1"/>
    </xf>
    <xf numFmtId="0" fontId="11" fillId="3" borderId="1" xfId="0" applyFont="1" applyFill="1" applyBorder="1" applyAlignment="1">
      <alignment horizontal="left" vertical="center"/>
    </xf>
    <xf numFmtId="0" fontId="11" fillId="3" borderId="2" xfId="0" applyFont="1" applyFill="1" applyBorder="1" applyAlignment="1">
      <alignment horizontal="left" vertical="center"/>
    </xf>
    <xf numFmtId="0" fontId="11" fillId="3" borderId="4" xfId="0" applyFont="1" applyFill="1" applyBorder="1" applyAlignment="1">
      <alignment horizontal="left" vertical="center"/>
    </xf>
    <xf numFmtId="0" fontId="1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center" wrapText="1"/>
    </xf>
    <xf numFmtId="0" fontId="7" fillId="0" borderId="0" xfId="0" quotePrefix="1" applyFont="1" applyAlignment="1">
      <alignment horizontal="left" wrapText="1"/>
    </xf>
    <xf numFmtId="0" fontId="6" fillId="3" borderId="3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center" vertical="center" wrapText="1"/>
    </xf>
    <xf numFmtId="0" fontId="23" fillId="3" borderId="2" xfId="0" applyFont="1" applyFill="1" applyBorder="1" applyAlignment="1">
      <alignment horizontal="center" vertical="center" wrapText="1"/>
    </xf>
    <xf numFmtId="0" fontId="23" fillId="3" borderId="4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36" fillId="0" borderId="0" xfId="0" applyFont="1" applyAlignment="1">
      <alignment vertical="center"/>
    </xf>
    <xf numFmtId="0" fontId="36" fillId="2" borderId="0" xfId="0" applyFont="1" applyFill="1" applyAlignment="1">
      <alignment horizontal="center" vertical="center"/>
    </xf>
    <xf numFmtId="0" fontId="36" fillId="2" borderId="5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36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4" fontId="6" fillId="2" borderId="4" xfId="0" applyNumberFormat="1" applyFont="1" applyFill="1" applyBorder="1" applyAlignment="1">
      <alignment horizontal="right" vertical="center"/>
    </xf>
    <xf numFmtId="4" fontId="6" fillId="2" borderId="3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4" fontId="3" fillId="2" borderId="4" xfId="0" applyNumberFormat="1" applyFont="1" applyFill="1" applyBorder="1" applyAlignment="1">
      <alignment horizontal="right" vertical="center"/>
    </xf>
    <xf numFmtId="4" fontId="3" fillId="2" borderId="3" xfId="0" applyNumberFormat="1" applyFont="1" applyFill="1" applyBorder="1" applyAlignment="1">
      <alignment horizontal="right" vertical="center"/>
    </xf>
    <xf numFmtId="0" fontId="37" fillId="0" borderId="3" xfId="0" applyFont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8" fillId="0" borderId="3" xfId="0" applyFont="1" applyBorder="1" applyAlignment="1">
      <alignment horizontal="left" vertical="center"/>
    </xf>
    <xf numFmtId="0" fontId="37" fillId="0" borderId="3" xfId="0" applyFont="1" applyBorder="1" applyAlignment="1">
      <alignment horizontal="left" vertical="center" wrapText="1"/>
    </xf>
    <xf numFmtId="0" fontId="37" fillId="0" borderId="4" xfId="0" applyFont="1" applyBorder="1" applyAlignment="1">
      <alignment horizontal="left" vertical="center"/>
    </xf>
    <xf numFmtId="0" fontId="37" fillId="0" borderId="4" xfId="0" applyFont="1" applyBorder="1" applyAlignment="1">
      <alignment horizontal="left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W39"/>
  <sheetViews>
    <sheetView topLeftCell="B20" zoomScale="110" zoomScaleNormal="110" workbookViewId="0">
      <selection activeCell="B30" sqref="B30:L30"/>
    </sheetView>
  </sheetViews>
  <sheetFormatPr defaultRowHeight="15" x14ac:dyDescent="0.25"/>
  <cols>
    <col min="6" max="10" width="25.28515625" customWidth="1"/>
    <col min="11" max="11" width="10.42578125" customWidth="1"/>
  </cols>
  <sheetData>
    <row r="1" spans="2:12" ht="42" customHeight="1" x14ac:dyDescent="0.25">
      <c r="B1" s="194" t="s">
        <v>152</v>
      </c>
      <c r="C1" s="194"/>
      <c r="D1" s="194"/>
      <c r="E1" s="194"/>
      <c r="F1" s="194"/>
      <c r="G1" s="194"/>
      <c r="H1" s="194"/>
      <c r="I1" s="194"/>
      <c r="J1" s="194"/>
      <c r="K1" s="194"/>
      <c r="L1" s="194"/>
    </row>
    <row r="2" spans="2:12" ht="18" customHeight="1" x14ac:dyDescent="0.25">
      <c r="B2" s="2"/>
      <c r="C2" s="2"/>
      <c r="D2" s="2"/>
      <c r="E2" s="2"/>
      <c r="F2" s="2"/>
      <c r="G2" s="2"/>
      <c r="H2" s="2"/>
      <c r="I2" s="2"/>
      <c r="J2" s="2"/>
      <c r="K2" s="2"/>
    </row>
    <row r="3" spans="2:12" ht="18" customHeight="1" x14ac:dyDescent="0.25">
      <c r="B3" s="2"/>
      <c r="C3" s="2"/>
      <c r="D3" s="2"/>
      <c r="E3" s="2"/>
      <c r="F3" s="2"/>
      <c r="G3" s="2"/>
      <c r="H3" s="2"/>
      <c r="I3" s="2"/>
      <c r="J3" s="169"/>
      <c r="K3" s="2"/>
    </row>
    <row r="4" spans="2:12" ht="15.75" x14ac:dyDescent="0.25">
      <c r="B4" s="194" t="s">
        <v>8</v>
      </c>
      <c r="C4" s="194"/>
      <c r="D4" s="194"/>
      <c r="E4" s="194"/>
      <c r="F4" s="194"/>
      <c r="G4" s="194"/>
      <c r="H4" s="194"/>
      <c r="I4" s="194"/>
      <c r="J4" s="204"/>
      <c r="K4" s="204"/>
    </row>
    <row r="5" spans="2:12" ht="36" customHeight="1" x14ac:dyDescent="0.3">
      <c r="B5" s="205"/>
      <c r="C5" s="205"/>
      <c r="D5" s="205"/>
      <c r="E5" s="2"/>
      <c r="F5" s="2"/>
      <c r="G5" s="2"/>
      <c r="H5" s="2"/>
      <c r="I5" s="2"/>
      <c r="J5" s="3"/>
      <c r="K5" s="3"/>
    </row>
    <row r="6" spans="2:12" ht="18" customHeight="1" x14ac:dyDescent="0.25">
      <c r="B6" s="194" t="s">
        <v>33</v>
      </c>
      <c r="C6" s="206"/>
      <c r="D6" s="206"/>
      <c r="E6" s="206"/>
      <c r="F6" s="206"/>
      <c r="G6" s="206"/>
      <c r="H6" s="206"/>
      <c r="I6" s="206"/>
      <c r="J6" s="206"/>
      <c r="K6" s="206"/>
    </row>
    <row r="7" spans="2:12" ht="18" customHeight="1" x14ac:dyDescent="0.3">
      <c r="B7" s="28"/>
      <c r="C7" s="29"/>
      <c r="D7" s="29"/>
      <c r="E7" s="29"/>
      <c r="F7" s="29"/>
      <c r="G7" s="29"/>
      <c r="H7" s="29"/>
      <c r="I7" s="29"/>
      <c r="J7" s="29"/>
      <c r="K7" s="29"/>
    </row>
    <row r="8" spans="2:12" x14ac:dyDescent="0.25">
      <c r="B8" s="195" t="s">
        <v>42</v>
      </c>
      <c r="C8" s="195"/>
      <c r="D8" s="195"/>
      <c r="E8" s="195"/>
      <c r="F8" s="195"/>
      <c r="G8" s="4"/>
      <c r="H8" s="4"/>
      <c r="I8" s="4"/>
      <c r="J8" s="4"/>
      <c r="K8" s="17"/>
    </row>
    <row r="9" spans="2:12" ht="25.5" x14ac:dyDescent="0.25">
      <c r="B9" s="196" t="s">
        <v>6</v>
      </c>
      <c r="C9" s="196"/>
      <c r="D9" s="196"/>
      <c r="E9" s="196"/>
      <c r="F9" s="196"/>
      <c r="G9" s="20" t="s">
        <v>122</v>
      </c>
      <c r="H9" s="1" t="s">
        <v>25</v>
      </c>
      <c r="I9" s="1" t="s">
        <v>22</v>
      </c>
      <c r="J9" s="20" t="s">
        <v>123</v>
      </c>
      <c r="K9" s="1" t="s">
        <v>10</v>
      </c>
      <c r="L9" s="1" t="s">
        <v>23</v>
      </c>
    </row>
    <row r="10" spans="2:12" s="23" customFormat="1" ht="10.15" x14ac:dyDescent="0.2">
      <c r="B10" s="197">
        <v>1</v>
      </c>
      <c r="C10" s="197"/>
      <c r="D10" s="197"/>
      <c r="E10" s="197"/>
      <c r="F10" s="197"/>
      <c r="G10" s="22">
        <v>2</v>
      </c>
      <c r="H10" s="21">
        <v>3</v>
      </c>
      <c r="I10" s="21">
        <v>4</v>
      </c>
      <c r="J10" s="21">
        <v>5</v>
      </c>
      <c r="K10" s="21" t="s">
        <v>12</v>
      </c>
      <c r="L10" s="21" t="s">
        <v>13</v>
      </c>
    </row>
    <row r="11" spans="2:12" ht="14.45" x14ac:dyDescent="0.3">
      <c r="B11" s="199" t="s">
        <v>0</v>
      </c>
      <c r="C11" s="200"/>
      <c r="D11" s="200"/>
      <c r="E11" s="200"/>
      <c r="F11" s="201"/>
      <c r="G11" s="36">
        <f>SUM(G12:G13)</f>
        <v>3572460.72</v>
      </c>
      <c r="H11" s="36">
        <f>SUM(H12:H13)</f>
        <v>10071696.710000001</v>
      </c>
      <c r="I11" s="36">
        <f>SUM(I12:I13)</f>
        <v>10345518.460000001</v>
      </c>
      <c r="J11" s="36">
        <f>SUM(J12:J13)</f>
        <v>7132764.2699999996</v>
      </c>
      <c r="K11" s="36">
        <f>IFERROR(J11/G11*100,"")</f>
        <v>199.65969758794157</v>
      </c>
      <c r="L11" s="36">
        <f>IFERROR(J11/H11*100,"")</f>
        <v>70.819887407034514</v>
      </c>
    </row>
    <row r="12" spans="2:12" ht="14.45" x14ac:dyDescent="0.3">
      <c r="B12" s="198" t="s">
        <v>26</v>
      </c>
      <c r="C12" s="202"/>
      <c r="D12" s="202"/>
      <c r="E12" s="202"/>
      <c r="F12" s="203"/>
      <c r="G12" s="39">
        <f>3572428.18+0.02</f>
        <v>3572428.2</v>
      </c>
      <c r="H12" s="39">
        <f>10048016.71+23680</f>
        <v>10071696.710000001</v>
      </c>
      <c r="I12" s="37">
        <v>10345518.460000001</v>
      </c>
      <c r="J12" s="39">
        <v>7132764.2699999996</v>
      </c>
      <c r="K12" s="33">
        <f t="shared" ref="K12:K16" si="0">IFERROR(J12/G12*100,"")</f>
        <v>199.6615151005694</v>
      </c>
      <c r="L12" s="33">
        <f t="shared" ref="L12:L16" si="1">IFERROR(J12/H12*100,"")</f>
        <v>70.819887407034514</v>
      </c>
    </row>
    <row r="13" spans="2:12" ht="14.45" x14ac:dyDescent="0.3">
      <c r="B13" s="207" t="s">
        <v>27</v>
      </c>
      <c r="C13" s="203"/>
      <c r="D13" s="203"/>
      <c r="E13" s="203"/>
      <c r="F13" s="203"/>
      <c r="G13" s="39">
        <v>32.520000000000003</v>
      </c>
      <c r="H13" s="39"/>
      <c r="I13" s="37"/>
      <c r="J13" s="39"/>
      <c r="K13" s="106">
        <f t="shared" si="0"/>
        <v>0</v>
      </c>
      <c r="L13" s="106" t="str">
        <f t="shared" si="1"/>
        <v/>
      </c>
    </row>
    <row r="14" spans="2:12" ht="14.45" x14ac:dyDescent="0.3">
      <c r="B14" s="210" t="s">
        <v>1</v>
      </c>
      <c r="C14" s="211"/>
      <c r="D14" s="211"/>
      <c r="E14" s="211"/>
      <c r="F14" s="212"/>
      <c r="G14" s="36">
        <f>SUM(G15:G16)</f>
        <v>3491988.45</v>
      </c>
      <c r="H14" s="36">
        <f>SUM(H15:H16)</f>
        <v>11844340.57</v>
      </c>
      <c r="I14" s="36">
        <f>SUM(I15:I16)</f>
        <v>10403535.370000001</v>
      </c>
      <c r="J14" s="36">
        <f>SUM(J15:J16)</f>
        <v>7515063.9699999997</v>
      </c>
      <c r="K14" s="36">
        <f t="shared" si="0"/>
        <v>215.20872928431362</v>
      </c>
      <c r="L14" s="36">
        <f t="shared" si="1"/>
        <v>63.44856368816825</v>
      </c>
    </row>
    <row r="15" spans="2:12" ht="14.45" x14ac:dyDescent="0.3">
      <c r="B15" s="209" t="s">
        <v>28</v>
      </c>
      <c r="C15" s="202"/>
      <c r="D15" s="202"/>
      <c r="E15" s="202"/>
      <c r="F15" s="202"/>
      <c r="G15" s="39">
        <v>3490310.33</v>
      </c>
      <c r="H15" s="39">
        <v>6198183.3499999996</v>
      </c>
      <c r="I15" s="37">
        <v>4588351.88</v>
      </c>
      <c r="J15" s="39">
        <f>4620294.12+269.56</f>
        <v>4620563.68</v>
      </c>
      <c r="K15" s="33">
        <f t="shared" si="0"/>
        <v>132.38260335435558</v>
      </c>
      <c r="L15" s="33">
        <f t="shared" si="1"/>
        <v>74.547063535963318</v>
      </c>
    </row>
    <row r="16" spans="2:12" ht="14.45" x14ac:dyDescent="0.3">
      <c r="B16" s="207" t="s">
        <v>29</v>
      </c>
      <c r="C16" s="203"/>
      <c r="D16" s="203"/>
      <c r="E16" s="203"/>
      <c r="F16" s="203"/>
      <c r="G16" s="39">
        <v>1678.12</v>
      </c>
      <c r="H16" s="39">
        <v>5646157.2199999997</v>
      </c>
      <c r="I16" s="37">
        <v>5815183.4900000002</v>
      </c>
      <c r="J16" s="39">
        <v>2894500.29</v>
      </c>
      <c r="K16" s="33">
        <f t="shared" si="0"/>
        <v>172484.70252425334</v>
      </c>
      <c r="L16" s="33">
        <f t="shared" si="1"/>
        <v>51.264960879002942</v>
      </c>
    </row>
    <row r="17" spans="2:23" x14ac:dyDescent="0.25">
      <c r="B17" s="208" t="s">
        <v>37</v>
      </c>
      <c r="C17" s="200"/>
      <c r="D17" s="200"/>
      <c r="E17" s="200"/>
      <c r="F17" s="200"/>
      <c r="G17" s="36">
        <f>G11-G14</f>
        <v>80472.270000000019</v>
      </c>
      <c r="H17" s="36">
        <f>H11-H14</f>
        <v>-1772643.8599999994</v>
      </c>
      <c r="I17" s="36">
        <f>I11-I14</f>
        <v>-58016.910000000149</v>
      </c>
      <c r="J17" s="36">
        <f>J11-J14</f>
        <v>-382299.70000000019</v>
      </c>
      <c r="K17" s="36"/>
      <c r="L17" s="36"/>
    </row>
    <row r="18" spans="2:23" ht="18" x14ac:dyDescent="0.25">
      <c r="B18" s="2"/>
      <c r="C18" s="13"/>
      <c r="D18" s="13"/>
      <c r="E18" s="13"/>
      <c r="F18" s="13"/>
      <c r="G18" s="13"/>
      <c r="H18" s="13"/>
      <c r="I18" s="14"/>
      <c r="J18" s="14"/>
      <c r="K18" s="14"/>
      <c r="L18" s="14"/>
    </row>
    <row r="19" spans="2:23" ht="18" customHeight="1" x14ac:dyDescent="0.25">
      <c r="B19" s="195" t="s">
        <v>36</v>
      </c>
      <c r="C19" s="195"/>
      <c r="D19" s="195"/>
      <c r="E19" s="195"/>
      <c r="F19" s="195"/>
      <c r="G19" s="13"/>
      <c r="H19" s="13"/>
      <c r="I19" s="14"/>
      <c r="J19" s="14"/>
      <c r="K19" s="14"/>
      <c r="L19" s="14"/>
    </row>
    <row r="20" spans="2:23" ht="25.5" x14ac:dyDescent="0.25">
      <c r="B20" s="196" t="s">
        <v>6</v>
      </c>
      <c r="C20" s="196"/>
      <c r="D20" s="196"/>
      <c r="E20" s="196"/>
      <c r="F20" s="196"/>
      <c r="G20" s="20" t="s">
        <v>122</v>
      </c>
      <c r="H20" s="1" t="s">
        <v>25</v>
      </c>
      <c r="I20" s="1" t="s">
        <v>22</v>
      </c>
      <c r="J20" s="20" t="s">
        <v>123</v>
      </c>
      <c r="K20" s="1" t="s">
        <v>10</v>
      </c>
      <c r="L20" s="1" t="s">
        <v>23</v>
      </c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</row>
    <row r="21" spans="2:23" s="23" customFormat="1" ht="11.25" x14ac:dyDescent="0.2">
      <c r="B21" s="197">
        <v>1</v>
      </c>
      <c r="C21" s="197"/>
      <c r="D21" s="197"/>
      <c r="E21" s="197"/>
      <c r="F21" s="197"/>
      <c r="G21" s="22">
        <v>2</v>
      </c>
      <c r="H21" s="21">
        <v>3</v>
      </c>
      <c r="I21" s="21">
        <v>4</v>
      </c>
      <c r="J21" s="21">
        <v>5</v>
      </c>
      <c r="K21" s="21" t="s">
        <v>12</v>
      </c>
      <c r="L21" s="21" t="s">
        <v>13</v>
      </c>
    </row>
    <row r="22" spans="2:23" ht="15.75" customHeight="1" x14ac:dyDescent="0.25">
      <c r="B22" s="198" t="s">
        <v>30</v>
      </c>
      <c r="C22" s="198"/>
      <c r="D22" s="198"/>
      <c r="E22" s="198"/>
      <c r="F22" s="198"/>
      <c r="G22" s="39"/>
      <c r="H22" s="37">
        <v>960710.45</v>
      </c>
      <c r="I22" s="37">
        <v>960710.45</v>
      </c>
      <c r="J22" s="37">
        <v>330921.87</v>
      </c>
      <c r="K22" s="15"/>
      <c r="L22" s="15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</row>
    <row r="23" spans="2:23" x14ac:dyDescent="0.25">
      <c r="B23" s="198" t="s">
        <v>31</v>
      </c>
      <c r="C23" s="202"/>
      <c r="D23" s="202"/>
      <c r="E23" s="202"/>
      <c r="F23" s="202"/>
      <c r="G23" s="39"/>
      <c r="H23" s="37"/>
      <c r="I23" s="37"/>
      <c r="J23" s="37"/>
      <c r="K23" s="15"/>
      <c r="L23" s="15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2:23" s="32" customFormat="1" ht="15" customHeight="1" x14ac:dyDescent="0.25">
      <c r="B24" s="217" t="s">
        <v>32</v>
      </c>
      <c r="C24" s="217"/>
      <c r="D24" s="217"/>
      <c r="E24" s="217"/>
      <c r="F24" s="217"/>
      <c r="G24" s="36">
        <f>G22-G23</f>
        <v>0</v>
      </c>
      <c r="H24" s="36">
        <f>H22-H23</f>
        <v>960710.45</v>
      </c>
      <c r="I24" s="36">
        <f t="shared" ref="I24:J24" si="2">I22-I23</f>
        <v>960710.45</v>
      </c>
      <c r="J24" s="36">
        <f t="shared" si="2"/>
        <v>330921.87</v>
      </c>
      <c r="K24" s="16"/>
      <c r="L24" s="16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</row>
    <row r="25" spans="2:23" s="32" customFormat="1" ht="15" customHeight="1" x14ac:dyDescent="0.25">
      <c r="B25" s="40"/>
      <c r="C25" s="40"/>
      <c r="D25" s="40"/>
      <c r="E25" s="40"/>
      <c r="F25" s="40"/>
      <c r="G25" s="41"/>
      <c r="H25" s="41"/>
      <c r="I25" s="41"/>
      <c r="J25" s="41"/>
      <c r="K25" s="41"/>
      <c r="L25" s="41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2:23" s="32" customFormat="1" ht="15" customHeight="1" x14ac:dyDescent="0.25">
      <c r="B26" s="217" t="s">
        <v>34</v>
      </c>
      <c r="C26" s="217"/>
      <c r="D26" s="217"/>
      <c r="E26" s="217"/>
      <c r="F26" s="217"/>
      <c r="G26" s="36">
        <v>128895.25</v>
      </c>
      <c r="H26" s="36"/>
      <c r="I26" s="36"/>
      <c r="J26" s="36">
        <v>209367.5</v>
      </c>
      <c r="K26" s="16"/>
      <c r="L26" s="16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</row>
    <row r="27" spans="2:23" x14ac:dyDescent="0.25">
      <c r="B27" s="208" t="s">
        <v>40</v>
      </c>
      <c r="C27" s="200"/>
      <c r="D27" s="200"/>
      <c r="E27" s="200"/>
      <c r="F27" s="200"/>
      <c r="G27" s="36">
        <v>209367.5</v>
      </c>
      <c r="H27" s="36"/>
      <c r="I27" s="36"/>
      <c r="J27" s="36">
        <v>158259.23000000001</v>
      </c>
      <c r="K27" s="16"/>
      <c r="L27" s="16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</row>
    <row r="28" spans="2:23" ht="11.25" customHeight="1" x14ac:dyDescent="0.25">
      <c r="B28" s="10"/>
      <c r="C28" s="11"/>
      <c r="D28" s="11"/>
      <c r="E28" s="11"/>
      <c r="F28" s="11"/>
      <c r="G28" s="12"/>
      <c r="H28" s="12"/>
      <c r="I28" s="12"/>
      <c r="J28" s="12"/>
      <c r="K28" s="12"/>
    </row>
    <row r="29" spans="2:23" ht="8.25" customHeight="1" x14ac:dyDescent="0.25"/>
    <row r="30" spans="2:23" ht="23.25" customHeight="1" x14ac:dyDescent="0.25">
      <c r="B30" s="216" t="s">
        <v>39</v>
      </c>
      <c r="C30" s="216"/>
      <c r="D30" s="216"/>
      <c r="E30" s="216"/>
      <c r="F30" s="216"/>
      <c r="G30" s="216"/>
      <c r="H30" s="216"/>
      <c r="I30" s="216"/>
      <c r="J30" s="216"/>
      <c r="K30" s="216"/>
      <c r="L30" s="216"/>
    </row>
    <row r="31" spans="2:23" ht="15.75" x14ac:dyDescent="0.25"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</row>
    <row r="32" spans="2:23" x14ac:dyDescent="0.25">
      <c r="B32" s="213" t="s">
        <v>151</v>
      </c>
      <c r="C32" s="213"/>
      <c r="D32" s="213"/>
      <c r="E32" s="213"/>
      <c r="F32" s="213"/>
      <c r="G32" s="213"/>
      <c r="H32" s="213"/>
      <c r="I32" s="213"/>
      <c r="J32" s="213"/>
      <c r="K32" s="213"/>
      <c r="L32" s="213"/>
    </row>
    <row r="33" spans="2:12" x14ac:dyDescent="0.25">
      <c r="B33" s="213"/>
      <c r="C33" s="213"/>
      <c r="D33" s="213"/>
      <c r="E33" s="213"/>
      <c r="F33" s="213"/>
      <c r="G33" s="213"/>
      <c r="H33" s="213"/>
      <c r="I33" s="213"/>
      <c r="J33" s="213"/>
      <c r="K33" s="213"/>
      <c r="L33" s="213"/>
    </row>
    <row r="34" spans="2:12" x14ac:dyDescent="0.25">
      <c r="B34" s="27"/>
      <c r="C34" s="27"/>
      <c r="D34" s="27"/>
      <c r="E34" s="27"/>
      <c r="F34" s="27"/>
      <c r="G34" s="27"/>
      <c r="H34" s="27"/>
      <c r="I34" s="27"/>
      <c r="J34" s="27"/>
      <c r="K34" s="27"/>
    </row>
    <row r="35" spans="2:12" ht="15" customHeight="1" x14ac:dyDescent="0.25">
      <c r="B35" s="213" t="s">
        <v>38</v>
      </c>
      <c r="C35" s="213"/>
      <c r="D35" s="213"/>
      <c r="E35" s="213"/>
      <c r="F35" s="213"/>
      <c r="G35" s="213"/>
      <c r="H35" s="213"/>
      <c r="I35" s="213"/>
      <c r="J35" s="213"/>
      <c r="K35" s="213"/>
      <c r="L35" s="213"/>
    </row>
    <row r="36" spans="2:12" ht="36.75" customHeight="1" x14ac:dyDescent="0.25">
      <c r="B36" s="213"/>
      <c r="C36" s="213"/>
      <c r="D36" s="213"/>
      <c r="E36" s="213"/>
      <c r="F36" s="213"/>
      <c r="G36" s="213"/>
      <c r="H36" s="213"/>
      <c r="I36" s="213"/>
      <c r="J36" s="213"/>
      <c r="K36" s="213"/>
      <c r="L36" s="213"/>
    </row>
    <row r="37" spans="2:12" x14ac:dyDescent="0.25">
      <c r="B37" s="215"/>
      <c r="C37" s="215"/>
      <c r="D37" s="215"/>
      <c r="E37" s="215"/>
      <c r="F37" s="215"/>
      <c r="G37" s="215"/>
      <c r="H37" s="215"/>
      <c r="I37" s="215"/>
      <c r="J37" s="215"/>
      <c r="K37" s="215"/>
    </row>
    <row r="38" spans="2:12" ht="15" customHeight="1" x14ac:dyDescent="0.25">
      <c r="B38" s="214" t="s">
        <v>41</v>
      </c>
      <c r="C38" s="214"/>
      <c r="D38" s="214"/>
      <c r="E38" s="214"/>
      <c r="F38" s="214"/>
      <c r="G38" s="214"/>
      <c r="H38" s="214"/>
      <c r="I38" s="214"/>
      <c r="J38" s="214"/>
      <c r="K38" s="214"/>
      <c r="L38" s="214"/>
    </row>
    <row r="39" spans="2:12" x14ac:dyDescent="0.25">
      <c r="B39" s="214"/>
      <c r="C39" s="214"/>
      <c r="D39" s="214"/>
      <c r="E39" s="214"/>
      <c r="F39" s="214"/>
      <c r="G39" s="214"/>
      <c r="H39" s="214"/>
      <c r="I39" s="214"/>
      <c r="J39" s="214"/>
      <c r="K39" s="214"/>
      <c r="L39" s="214"/>
    </row>
  </sheetData>
  <mergeCells count="28">
    <mergeCell ref="B19:F19"/>
    <mergeCell ref="B14:F14"/>
    <mergeCell ref="B32:L33"/>
    <mergeCell ref="B35:L36"/>
    <mergeCell ref="B38:L39"/>
    <mergeCell ref="B37:F37"/>
    <mergeCell ref="G37:K37"/>
    <mergeCell ref="B30:L30"/>
    <mergeCell ref="B24:F24"/>
    <mergeCell ref="B23:F23"/>
    <mergeCell ref="B26:F26"/>
    <mergeCell ref="B27:F27"/>
    <mergeCell ref="B1:L1"/>
    <mergeCell ref="B8:F8"/>
    <mergeCell ref="B20:F20"/>
    <mergeCell ref="B21:F21"/>
    <mergeCell ref="B22:F22"/>
    <mergeCell ref="B10:F10"/>
    <mergeCell ref="B11:F11"/>
    <mergeCell ref="B12:F12"/>
    <mergeCell ref="B4:K4"/>
    <mergeCell ref="B9:F9"/>
    <mergeCell ref="B5:D5"/>
    <mergeCell ref="B6:K6"/>
    <mergeCell ref="B13:F13"/>
    <mergeCell ref="B17:F17"/>
    <mergeCell ref="B15:F15"/>
    <mergeCell ref="B16:F16"/>
  </mergeCells>
  <pageMargins left="0.7" right="0.7" top="0.75" bottom="0.75" header="0.3" footer="0.3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48"/>
  <sheetViews>
    <sheetView topLeftCell="A30" zoomScale="90" zoomScaleNormal="90" workbookViewId="0">
      <selection activeCell="A44" sqref="A44:XFD45"/>
    </sheetView>
  </sheetViews>
  <sheetFormatPr defaultRowHeight="15" x14ac:dyDescent="0.25"/>
  <cols>
    <col min="2" max="2" width="7.42578125" bestFit="1" customWidth="1"/>
    <col min="3" max="3" width="8.42578125" bestFit="1" customWidth="1"/>
    <col min="4" max="4" width="5.42578125" bestFit="1" customWidth="1"/>
    <col min="5" max="5" width="6.28515625" customWidth="1"/>
    <col min="6" max="6" width="45.7109375" customWidth="1"/>
    <col min="7" max="7" width="25.28515625" style="108" customWidth="1"/>
    <col min="8" max="10" width="25.28515625" customWidth="1"/>
    <col min="11" max="12" width="15.7109375" customWidth="1"/>
  </cols>
  <sheetData>
    <row r="1" spans="1:12" ht="18" customHeight="1" x14ac:dyDescent="0.25">
      <c r="B1" s="2"/>
      <c r="C1" s="2"/>
      <c r="D1" s="2"/>
      <c r="E1" s="2"/>
      <c r="F1" s="2"/>
      <c r="G1" s="168"/>
      <c r="H1" s="2"/>
      <c r="I1" s="2"/>
      <c r="J1" s="168"/>
      <c r="K1" s="2"/>
    </row>
    <row r="2" spans="1:12" ht="15.75" customHeight="1" x14ac:dyDescent="0.25">
      <c r="B2" s="194" t="s">
        <v>8</v>
      </c>
      <c r="C2" s="194"/>
      <c r="D2" s="194"/>
      <c r="E2" s="194"/>
      <c r="F2" s="194"/>
      <c r="G2" s="194"/>
      <c r="H2" s="194"/>
      <c r="I2" s="194"/>
      <c r="J2" s="194"/>
      <c r="K2" s="194"/>
      <c r="L2" s="194"/>
    </row>
    <row r="3" spans="1:12" ht="18" x14ac:dyDescent="0.25">
      <c r="B3" s="2"/>
      <c r="C3" s="2"/>
      <c r="D3" s="2"/>
      <c r="E3" s="2"/>
      <c r="F3" s="2"/>
      <c r="G3" s="161"/>
      <c r="H3" s="2"/>
      <c r="I3" s="2"/>
      <c r="J3" s="3"/>
      <c r="K3" s="3"/>
    </row>
    <row r="4" spans="1:12" ht="18" customHeight="1" x14ac:dyDescent="0.25">
      <c r="B4" s="194" t="s">
        <v>35</v>
      </c>
      <c r="C4" s="194"/>
      <c r="D4" s="194"/>
      <c r="E4" s="194"/>
      <c r="F4" s="194"/>
      <c r="G4" s="194"/>
      <c r="H4" s="194"/>
      <c r="I4" s="194"/>
      <c r="J4" s="194"/>
      <c r="K4" s="194"/>
      <c r="L4" s="194"/>
    </row>
    <row r="5" spans="1:12" ht="18" x14ac:dyDescent="0.25">
      <c r="B5" s="2"/>
      <c r="C5" s="2"/>
      <c r="D5" s="2"/>
      <c r="E5" s="2"/>
      <c r="F5" s="2"/>
      <c r="G5" s="161"/>
      <c r="H5" s="2"/>
      <c r="I5" s="2"/>
      <c r="J5" s="3"/>
      <c r="K5" s="3"/>
    </row>
    <row r="6" spans="1:12" ht="15.75" customHeight="1" x14ac:dyDescent="0.25">
      <c r="B6" s="194" t="s">
        <v>11</v>
      </c>
      <c r="C6" s="194"/>
      <c r="D6" s="194"/>
      <c r="E6" s="194"/>
      <c r="F6" s="194"/>
      <c r="G6" s="194"/>
      <c r="H6" s="194"/>
      <c r="I6" s="194"/>
      <c r="J6" s="194"/>
      <c r="K6" s="194"/>
      <c r="L6" s="194"/>
    </row>
    <row r="7" spans="1:12" ht="18" x14ac:dyDescent="0.25">
      <c r="B7" s="2"/>
      <c r="C7" s="2"/>
      <c r="D7" s="2"/>
      <c r="E7" s="2"/>
      <c r="F7" s="2"/>
      <c r="G7" s="161"/>
      <c r="H7" s="161"/>
      <c r="I7" s="2"/>
      <c r="J7" s="3"/>
      <c r="K7" s="3"/>
    </row>
    <row r="8" spans="1:12" ht="32.25" customHeight="1" x14ac:dyDescent="0.25">
      <c r="B8" s="218" t="s">
        <v>6</v>
      </c>
      <c r="C8" s="219"/>
      <c r="D8" s="219"/>
      <c r="E8" s="219"/>
      <c r="F8" s="220"/>
      <c r="G8" s="162" t="s">
        <v>122</v>
      </c>
      <c r="H8" s="30" t="s">
        <v>25</v>
      </c>
      <c r="I8" s="30" t="s">
        <v>22</v>
      </c>
      <c r="J8" s="160" t="s">
        <v>123</v>
      </c>
      <c r="K8" s="30" t="s">
        <v>10</v>
      </c>
      <c r="L8" s="30" t="s">
        <v>23</v>
      </c>
    </row>
    <row r="9" spans="1:12" x14ac:dyDescent="0.25">
      <c r="A9" s="23"/>
      <c r="B9" s="221">
        <v>1</v>
      </c>
      <c r="C9" s="222"/>
      <c r="D9" s="222"/>
      <c r="E9" s="222"/>
      <c r="F9" s="223"/>
      <c r="G9" s="163">
        <v>2</v>
      </c>
      <c r="H9" s="31">
        <v>3</v>
      </c>
      <c r="I9" s="31">
        <v>4</v>
      </c>
      <c r="J9" s="31">
        <v>5</v>
      </c>
      <c r="K9" s="31" t="s">
        <v>12</v>
      </c>
      <c r="L9" s="31" t="s">
        <v>13</v>
      </c>
    </row>
    <row r="10" spans="1:12" x14ac:dyDescent="0.25">
      <c r="A10" s="32"/>
      <c r="B10" s="55"/>
      <c r="C10" s="55"/>
      <c r="D10" s="55"/>
      <c r="E10" s="55"/>
      <c r="F10" s="55" t="s">
        <v>24</v>
      </c>
      <c r="G10" s="73">
        <f>G11+G40</f>
        <v>3572460.7193576219</v>
      </c>
      <c r="H10" s="73">
        <f>H11</f>
        <v>10071696.709999999</v>
      </c>
      <c r="I10" s="73">
        <f>I11</f>
        <v>10345518.459999999</v>
      </c>
      <c r="J10" s="57">
        <f>J11+J40</f>
        <v>7132764.2699999996</v>
      </c>
      <c r="K10" s="92">
        <f>IFERROR(J10/G10*100,"")</f>
        <v>199.65969762384316</v>
      </c>
      <c r="L10" s="92">
        <f>IFERROR(J10/I10*100,"")</f>
        <v>68.945450124884317</v>
      </c>
    </row>
    <row r="11" spans="1:12" ht="15.75" customHeight="1" x14ac:dyDescent="0.25">
      <c r="A11" s="32"/>
      <c r="B11" s="52">
        <v>6</v>
      </c>
      <c r="C11" s="52"/>
      <c r="D11" s="52"/>
      <c r="E11" s="52"/>
      <c r="F11" s="52" t="s">
        <v>2</v>
      </c>
      <c r="G11" s="72">
        <f>G12+G23+G29+G36+G26</f>
        <v>3572428.2022695602</v>
      </c>
      <c r="H11" s="72">
        <f>H12+H23+H29+H36+H26</f>
        <v>10071696.709999999</v>
      </c>
      <c r="I11" s="72">
        <f>I12+I23+I29+I36+I26</f>
        <v>10345518.459999999</v>
      </c>
      <c r="J11" s="58">
        <f>J12+J23+J29+J36+J26</f>
        <v>7132764.2699999996</v>
      </c>
      <c r="K11" s="93">
        <f>IFERROR(J11/G11*100,"")</f>
        <v>199.66151497372465</v>
      </c>
      <c r="L11" s="93">
        <f>IFERROR(J11/I11*100,"")</f>
        <v>68.945450124884317</v>
      </c>
    </row>
    <row r="12" spans="1:12" ht="25.5" x14ac:dyDescent="0.25">
      <c r="A12" s="32"/>
      <c r="B12" s="46"/>
      <c r="C12" s="47">
        <v>63</v>
      </c>
      <c r="D12" s="47"/>
      <c r="E12" s="47"/>
      <c r="F12" s="47" t="s">
        <v>14</v>
      </c>
      <c r="G12" s="71">
        <f>SUM(G13+G15+G18+G20)</f>
        <v>3210008.3363195965</v>
      </c>
      <c r="H12" s="71">
        <f>H15+H18+H20</f>
        <v>9744875.1699999999</v>
      </c>
      <c r="I12" s="71">
        <f>I15+I18</f>
        <v>10034423.25</v>
      </c>
      <c r="J12" s="67">
        <f>J13+J15+J18+J20</f>
        <v>6264477.5099999998</v>
      </c>
      <c r="K12" s="94">
        <f>IFERROR(J12/G12*100,"")</f>
        <v>195.1545558035053</v>
      </c>
      <c r="L12" s="94">
        <f>IFERROR(J12/I12*100,"")</f>
        <v>62.429871193643336</v>
      </c>
    </row>
    <row r="13" spans="1:12" ht="25.5" x14ac:dyDescent="0.25">
      <c r="A13" s="32"/>
      <c r="B13" s="46"/>
      <c r="C13" s="47"/>
      <c r="D13" s="47">
        <v>632</v>
      </c>
      <c r="E13" s="47"/>
      <c r="F13" s="47" t="s">
        <v>153</v>
      </c>
      <c r="G13" s="71"/>
      <c r="H13" s="71"/>
      <c r="I13" s="71"/>
      <c r="J13" s="153">
        <v>4730.3999999999996</v>
      </c>
      <c r="K13" s="94"/>
      <c r="L13" s="94"/>
    </row>
    <row r="14" spans="1:12" x14ac:dyDescent="0.25">
      <c r="A14" s="32"/>
      <c r="B14" s="5"/>
      <c r="C14" s="8"/>
      <c r="D14" s="8"/>
      <c r="E14" s="8">
        <v>6321</v>
      </c>
      <c r="F14" s="8" t="s">
        <v>154</v>
      </c>
      <c r="G14" s="106"/>
      <c r="H14" s="106"/>
      <c r="I14" s="106"/>
      <c r="J14" s="145">
        <v>4730.3999999999996</v>
      </c>
      <c r="K14" s="133"/>
      <c r="L14" s="133"/>
    </row>
    <row r="15" spans="1:12" x14ac:dyDescent="0.25">
      <c r="A15" s="32"/>
      <c r="B15" s="42"/>
      <c r="C15" s="42"/>
      <c r="D15" s="42">
        <v>636</v>
      </c>
      <c r="E15" s="42"/>
      <c r="F15" s="42" t="s">
        <v>43</v>
      </c>
      <c r="G15" s="63">
        <f>SUM(G16:G17)</f>
        <v>1981829.9674829117</v>
      </c>
      <c r="H15" s="63">
        <f>SUM(H16:H17)</f>
        <v>2849848.6999999997</v>
      </c>
      <c r="I15" s="63">
        <v>2373503.17</v>
      </c>
      <c r="J15" s="64">
        <f>J16+J17</f>
        <v>2718152.66</v>
      </c>
      <c r="K15" s="88">
        <f>IFERROR(J15/G15*100,"")</f>
        <v>137.15367637982988</v>
      </c>
      <c r="L15" s="88">
        <f>IFERROR(J15/I15*100,"")</f>
        <v>114.52070906650613</v>
      </c>
    </row>
    <row r="16" spans="1:12" x14ac:dyDescent="0.25">
      <c r="A16" s="32"/>
      <c r="B16" s="6"/>
      <c r="C16" s="6"/>
      <c r="D16" s="6"/>
      <c r="E16" s="6">
        <v>6361</v>
      </c>
      <c r="F16" s="6" t="s">
        <v>44</v>
      </c>
      <c r="G16" s="33">
        <f>14923438.69/7.5345</f>
        <v>1980680.6941402878</v>
      </c>
      <c r="H16" s="33">
        <f>2848494.33+26.76</f>
        <v>2848521.09</v>
      </c>
      <c r="I16" s="33">
        <v>2373503.17</v>
      </c>
      <c r="J16" s="69">
        <v>2716900.23</v>
      </c>
      <c r="K16" s="89">
        <f>IFERROR(J16/G16*100,"")</f>
        <v>137.17002634689018</v>
      </c>
      <c r="L16" s="89">
        <f>IFERROR(J16/I16*100,"")</f>
        <v>114.4679419155779</v>
      </c>
    </row>
    <row r="17" spans="1:12" x14ac:dyDescent="0.25">
      <c r="A17" s="32"/>
      <c r="B17" s="6"/>
      <c r="C17" s="6"/>
      <c r="D17" s="6"/>
      <c r="E17" s="6">
        <v>6362</v>
      </c>
      <c r="F17" s="6" t="s">
        <v>81</v>
      </c>
      <c r="G17" s="33">
        <f>8659.2/7.5345</f>
        <v>1149.2733426239299</v>
      </c>
      <c r="H17" s="33">
        <v>1327.61</v>
      </c>
      <c r="I17" s="33"/>
      <c r="J17" s="35">
        <v>1252.43</v>
      </c>
      <c r="K17" s="90">
        <f>IFERROR(J17/G17*100,"")</f>
        <v>108.97581572200666</v>
      </c>
      <c r="L17" s="90" t="str">
        <f>IFERROR(J17/I17*100,"")</f>
        <v/>
      </c>
    </row>
    <row r="18" spans="1:12" s="95" customFormat="1" x14ac:dyDescent="0.25">
      <c r="A18" s="112"/>
      <c r="B18" s="146"/>
      <c r="C18" s="146"/>
      <c r="D18" s="147">
        <v>638</v>
      </c>
      <c r="E18" s="146"/>
      <c r="F18" s="147" t="s">
        <v>124</v>
      </c>
      <c r="G18" s="148">
        <f>G19</f>
        <v>1192976.9805561085</v>
      </c>
      <c r="H18" s="148">
        <f>H19</f>
        <v>6871346.4699999997</v>
      </c>
      <c r="I18" s="148">
        <f>I19</f>
        <v>7660920.0800000001</v>
      </c>
      <c r="J18" s="149">
        <f>SUM(J19)</f>
        <v>3500451.54</v>
      </c>
      <c r="K18" s="113"/>
      <c r="L18" s="113"/>
    </row>
    <row r="19" spans="1:12" x14ac:dyDescent="0.25">
      <c r="A19" s="32"/>
      <c r="B19" s="6"/>
      <c r="C19" s="6"/>
      <c r="D19" s="6"/>
      <c r="E19" s="6">
        <v>6381</v>
      </c>
      <c r="F19" s="6" t="s">
        <v>125</v>
      </c>
      <c r="G19" s="33">
        <f>8988485.06/7.5345</f>
        <v>1192976.9805561085</v>
      </c>
      <c r="H19" s="33">
        <v>6871346.4699999997</v>
      </c>
      <c r="I19" s="33">
        <v>7660920.0800000001</v>
      </c>
      <c r="J19" s="35">
        <v>3500451.54</v>
      </c>
      <c r="K19" s="90"/>
      <c r="L19" s="90"/>
    </row>
    <row r="20" spans="1:12" ht="25.5" x14ac:dyDescent="0.25">
      <c r="A20" s="32"/>
      <c r="B20" s="150"/>
      <c r="C20" s="150"/>
      <c r="D20" s="150">
        <v>639</v>
      </c>
      <c r="E20" s="150"/>
      <c r="F20" s="151" t="s">
        <v>155</v>
      </c>
      <c r="G20" s="152">
        <f>SUM(G21:G22)</f>
        <v>35201.388280576015</v>
      </c>
      <c r="H20" s="152">
        <f>SUM(H21:H22)</f>
        <v>23680</v>
      </c>
      <c r="I20" s="152"/>
      <c r="J20" s="149">
        <f>SUM(J21:J22)</f>
        <v>41142.910000000003</v>
      </c>
      <c r="K20" s="90"/>
      <c r="L20" s="90"/>
    </row>
    <row r="21" spans="1:12" ht="25.5" x14ac:dyDescent="0.25">
      <c r="A21" s="32"/>
      <c r="B21" s="6"/>
      <c r="C21" s="6"/>
      <c r="D21" s="6"/>
      <c r="E21" s="6">
        <v>6391</v>
      </c>
      <c r="F21" s="24" t="s">
        <v>156</v>
      </c>
      <c r="G21" s="33">
        <f>5000/7.5345</f>
        <v>663.61404207313024</v>
      </c>
      <c r="H21" s="33">
        <v>23680</v>
      </c>
      <c r="I21" s="33"/>
      <c r="J21" s="35">
        <v>7299.91</v>
      </c>
      <c r="K21" s="90"/>
      <c r="L21" s="90"/>
    </row>
    <row r="22" spans="1:12" ht="25.5" x14ac:dyDescent="0.25">
      <c r="A22" s="32"/>
      <c r="B22" s="6"/>
      <c r="C22" s="6"/>
      <c r="D22" s="6"/>
      <c r="E22" s="6">
        <v>6393</v>
      </c>
      <c r="F22" s="24" t="s">
        <v>157</v>
      </c>
      <c r="G22" s="33">
        <f>260224.86/7.5345</f>
        <v>34537.774238502883</v>
      </c>
      <c r="H22" s="33"/>
      <c r="I22" s="33"/>
      <c r="J22" s="35">
        <v>33843</v>
      </c>
      <c r="K22" s="90"/>
      <c r="L22" s="90"/>
    </row>
    <row r="23" spans="1:12" x14ac:dyDescent="0.25">
      <c r="A23" s="32"/>
      <c r="B23" s="48"/>
      <c r="C23" s="48">
        <v>64</v>
      </c>
      <c r="D23" s="48"/>
      <c r="E23" s="48"/>
      <c r="F23" s="48" t="s">
        <v>92</v>
      </c>
      <c r="G23" s="71">
        <f>G24</f>
        <v>1.1507067489548077</v>
      </c>
      <c r="H23" s="71">
        <v>0.27</v>
      </c>
      <c r="I23" s="71">
        <v>13.27</v>
      </c>
      <c r="J23" s="67">
        <f>J24</f>
        <v>0.32</v>
      </c>
      <c r="K23" s="94">
        <f t="shared" ref="K23:K31" si="0">IFERROR(J23/G23*100,"")</f>
        <v>27.808996539792393</v>
      </c>
      <c r="L23" s="94">
        <f t="shared" ref="L23:L43" si="1">IFERROR(J23/I23*100,"")</f>
        <v>2.4114544084400906</v>
      </c>
    </row>
    <row r="24" spans="1:12" x14ac:dyDescent="0.25">
      <c r="A24" s="32"/>
      <c r="B24" s="42"/>
      <c r="C24" s="42"/>
      <c r="D24" s="42">
        <v>641</v>
      </c>
      <c r="E24" s="42"/>
      <c r="F24" s="42" t="s">
        <v>135</v>
      </c>
      <c r="G24" s="63">
        <f>G25</f>
        <v>1.1507067489548077</v>
      </c>
      <c r="H24" s="63">
        <v>0.27</v>
      </c>
      <c r="I24" s="63">
        <v>13.27</v>
      </c>
      <c r="J24" s="70">
        <f>J25</f>
        <v>0.32</v>
      </c>
      <c r="K24" s="88">
        <f t="shared" si="0"/>
        <v>27.808996539792393</v>
      </c>
      <c r="L24" s="88">
        <f t="shared" si="1"/>
        <v>2.4114544084400906</v>
      </c>
    </row>
    <row r="25" spans="1:12" x14ac:dyDescent="0.25">
      <c r="A25" s="32"/>
      <c r="B25" s="6"/>
      <c r="C25" s="6"/>
      <c r="D25" s="6"/>
      <c r="E25" s="6">
        <v>6413</v>
      </c>
      <c r="F25" s="6" t="s">
        <v>136</v>
      </c>
      <c r="G25" s="33">
        <f>8.67/7.5345</f>
        <v>1.1507067489548077</v>
      </c>
      <c r="H25" s="33">
        <v>0.27</v>
      </c>
      <c r="I25" s="33">
        <v>13.27</v>
      </c>
      <c r="J25" s="69">
        <v>0.32</v>
      </c>
      <c r="K25" s="89">
        <f t="shared" si="0"/>
        <v>27.808996539792393</v>
      </c>
      <c r="L25" s="89">
        <f t="shared" si="1"/>
        <v>2.4114544084400906</v>
      </c>
    </row>
    <row r="26" spans="1:12" x14ac:dyDescent="0.25">
      <c r="A26" s="32"/>
      <c r="B26" s="48"/>
      <c r="C26" s="48">
        <v>65</v>
      </c>
      <c r="D26" s="48"/>
      <c r="E26" s="48"/>
      <c r="F26" s="48"/>
      <c r="G26" s="71">
        <f>G27</f>
        <v>5997.7437122569509</v>
      </c>
      <c r="H26" s="71">
        <v>19660.02</v>
      </c>
      <c r="I26" s="71">
        <v>3981.68</v>
      </c>
      <c r="J26" s="67">
        <f>J27</f>
        <v>19830.02</v>
      </c>
      <c r="K26" s="94">
        <f t="shared" si="0"/>
        <v>330.6246640628458</v>
      </c>
      <c r="L26" s="94">
        <f t="shared" si="1"/>
        <v>498.0314841976251</v>
      </c>
    </row>
    <row r="27" spans="1:12" x14ac:dyDescent="0.25">
      <c r="A27" s="32"/>
      <c r="B27" s="42"/>
      <c r="C27" s="42"/>
      <c r="D27" s="42">
        <v>652</v>
      </c>
      <c r="E27" s="42"/>
      <c r="F27" s="42" t="s">
        <v>127</v>
      </c>
      <c r="G27" s="63">
        <f>SUM(G28:G28)</f>
        <v>5997.7437122569509</v>
      </c>
      <c r="H27" s="63">
        <v>19660.02</v>
      </c>
      <c r="I27" s="63">
        <v>3981.68</v>
      </c>
      <c r="J27" s="64">
        <f>J28</f>
        <v>19830.02</v>
      </c>
      <c r="K27" s="88">
        <f t="shared" si="0"/>
        <v>330.6246640628458</v>
      </c>
      <c r="L27" s="88">
        <f t="shared" si="1"/>
        <v>498.0314841976251</v>
      </c>
    </row>
    <row r="28" spans="1:12" x14ac:dyDescent="0.25">
      <c r="A28" s="32"/>
      <c r="B28" s="6"/>
      <c r="C28" s="6"/>
      <c r="D28" s="6"/>
      <c r="E28" s="6">
        <v>6526</v>
      </c>
      <c r="F28" s="6" t="s">
        <v>126</v>
      </c>
      <c r="G28" s="33">
        <f>45190/7.5345</f>
        <v>5997.7437122569509</v>
      </c>
      <c r="H28" s="33">
        <v>19660.02</v>
      </c>
      <c r="I28" s="33">
        <v>3981.68</v>
      </c>
      <c r="J28" s="69">
        <v>19830.02</v>
      </c>
      <c r="K28" s="89">
        <f t="shared" si="0"/>
        <v>330.6246640628458</v>
      </c>
      <c r="L28" s="89">
        <f t="shared" si="1"/>
        <v>498.0314841976251</v>
      </c>
    </row>
    <row r="29" spans="1:12" ht="25.5" x14ac:dyDescent="0.25">
      <c r="A29" s="32"/>
      <c r="B29" s="48"/>
      <c r="C29" s="48">
        <v>66</v>
      </c>
      <c r="D29" s="49"/>
      <c r="E29" s="49"/>
      <c r="F29" s="47" t="s">
        <v>15</v>
      </c>
      <c r="G29" s="71">
        <f>G30+G33</f>
        <v>87662.363793217868</v>
      </c>
      <c r="H29" s="71">
        <f>H30+H33</f>
        <v>59986.99</v>
      </c>
      <c r="I29" s="71">
        <f>I30+I33</f>
        <v>59711.99</v>
      </c>
      <c r="J29" s="67">
        <f>J30+J33</f>
        <v>69967.86</v>
      </c>
      <c r="K29" s="94">
        <f t="shared" si="0"/>
        <v>79.815164652693483</v>
      </c>
      <c r="L29" s="89">
        <f t="shared" si="1"/>
        <v>117.17556222795456</v>
      </c>
    </row>
    <row r="30" spans="1:12" x14ac:dyDescent="0.25">
      <c r="A30" s="32"/>
      <c r="B30" s="42"/>
      <c r="C30" s="43"/>
      <c r="D30" s="44">
        <v>663</v>
      </c>
      <c r="E30" s="44"/>
      <c r="F30" s="45" t="s">
        <v>45</v>
      </c>
      <c r="G30" s="63">
        <f>SUM(G31:G32)</f>
        <v>8938.060919769061</v>
      </c>
      <c r="H30" s="63">
        <f t="shared" ref="H30:I30" si="2">SUM(H31:H32)</f>
        <v>275</v>
      </c>
      <c r="I30" s="63">
        <f t="shared" si="2"/>
        <v>0</v>
      </c>
      <c r="J30" s="64">
        <f>SUM(J31:J32)</f>
        <v>6314.23</v>
      </c>
      <c r="K30" s="88">
        <f t="shared" si="0"/>
        <v>70.644293618924507</v>
      </c>
      <c r="L30" s="89" t="str">
        <f t="shared" si="1"/>
        <v/>
      </c>
    </row>
    <row r="31" spans="1:12" x14ac:dyDescent="0.25">
      <c r="A31" s="32"/>
      <c r="B31" s="6"/>
      <c r="C31" s="19"/>
      <c r="D31" s="7"/>
      <c r="E31" s="7">
        <v>6631</v>
      </c>
      <c r="F31" s="8" t="s">
        <v>46</v>
      </c>
      <c r="G31" s="33">
        <f>20000/7.5345</f>
        <v>2654.4561682925209</v>
      </c>
      <c r="H31" s="33">
        <v>275</v>
      </c>
      <c r="I31" s="33"/>
      <c r="J31" s="35">
        <v>3275</v>
      </c>
      <c r="K31" s="90">
        <f t="shared" si="0"/>
        <v>123.37743750000001</v>
      </c>
      <c r="L31" s="89" t="str">
        <f t="shared" si="1"/>
        <v/>
      </c>
    </row>
    <row r="32" spans="1:12" x14ac:dyDescent="0.25">
      <c r="A32" s="32"/>
      <c r="B32" s="6"/>
      <c r="C32" s="19"/>
      <c r="D32" s="7"/>
      <c r="E32" s="7">
        <v>6632</v>
      </c>
      <c r="F32" s="8" t="s">
        <v>141</v>
      </c>
      <c r="G32" s="33">
        <f>47343.82/7.5345</f>
        <v>6283.6047514765405</v>
      </c>
      <c r="H32" s="33"/>
      <c r="I32" s="33"/>
      <c r="J32" s="35">
        <v>3039.23</v>
      </c>
      <c r="K32" s="90"/>
      <c r="L32" s="89" t="str">
        <f t="shared" si="1"/>
        <v/>
      </c>
    </row>
    <row r="33" spans="1:12" x14ac:dyDescent="0.25">
      <c r="A33" s="32"/>
      <c r="B33" s="114"/>
      <c r="C33" s="115"/>
      <c r="D33" s="116">
        <v>661</v>
      </c>
      <c r="E33" s="116"/>
      <c r="F33" s="117" t="s">
        <v>128</v>
      </c>
      <c r="G33" s="118">
        <f>SUM(G34:G35)</f>
        <v>78724.302873448803</v>
      </c>
      <c r="H33" s="118">
        <f t="shared" ref="H33:I33" si="3">SUM(H34:H35)</f>
        <v>59711.99</v>
      </c>
      <c r="I33" s="118">
        <f t="shared" si="3"/>
        <v>59711.99</v>
      </c>
      <c r="J33" s="119">
        <f>J34+J35</f>
        <v>63653.63</v>
      </c>
      <c r="K33" s="120"/>
      <c r="L33" s="89">
        <f t="shared" si="1"/>
        <v>106.60108631449062</v>
      </c>
    </row>
    <row r="34" spans="1:12" x14ac:dyDescent="0.25">
      <c r="A34" s="32"/>
      <c r="B34" s="6"/>
      <c r="C34" s="19"/>
      <c r="D34" s="7"/>
      <c r="E34" s="7">
        <v>6614</v>
      </c>
      <c r="F34" s="8" t="s">
        <v>129</v>
      </c>
      <c r="G34" s="33">
        <v>0</v>
      </c>
      <c r="H34" s="33"/>
      <c r="I34" s="33"/>
      <c r="J34" s="35">
        <v>0</v>
      </c>
      <c r="K34" s="90"/>
      <c r="L34" s="89" t="str">
        <f t="shared" si="1"/>
        <v/>
      </c>
    </row>
    <row r="35" spans="1:12" x14ac:dyDescent="0.25">
      <c r="A35" s="32"/>
      <c r="B35" s="6"/>
      <c r="C35" s="6"/>
      <c r="D35" s="7"/>
      <c r="E35" s="7">
        <v>6615</v>
      </c>
      <c r="F35" s="8" t="s">
        <v>130</v>
      </c>
      <c r="G35" s="33">
        <f>593148.26/7.5345</f>
        <v>78724.302873448803</v>
      </c>
      <c r="H35" s="33">
        <v>59711.99</v>
      </c>
      <c r="I35" s="33">
        <v>59711.99</v>
      </c>
      <c r="J35" s="35">
        <v>63653.63</v>
      </c>
      <c r="K35" s="90">
        <f t="shared" ref="K35:K40" si="4">IFERROR(J35/G35*100,"")</f>
        <v>80.856390817870732</v>
      </c>
      <c r="L35" s="89">
        <f t="shared" si="1"/>
        <v>106.60108631449062</v>
      </c>
    </row>
    <row r="36" spans="1:12" x14ac:dyDescent="0.25">
      <c r="A36" s="32"/>
      <c r="B36" s="50"/>
      <c r="C36" s="48">
        <v>67</v>
      </c>
      <c r="D36" s="49"/>
      <c r="E36" s="49"/>
      <c r="F36" s="47" t="s">
        <v>48</v>
      </c>
      <c r="G36" s="71">
        <f>G37</f>
        <v>268758.60773773969</v>
      </c>
      <c r="H36" s="71">
        <f t="shared" ref="H36:I36" si="5">H37</f>
        <v>247174.26</v>
      </c>
      <c r="I36" s="71">
        <f t="shared" si="5"/>
        <v>247388.27</v>
      </c>
      <c r="J36" s="67">
        <f>J37</f>
        <v>778488.56</v>
      </c>
      <c r="K36" s="94">
        <f t="shared" si="4"/>
        <v>289.66088437236795</v>
      </c>
      <c r="L36" s="89">
        <f t="shared" si="1"/>
        <v>314.68289098751529</v>
      </c>
    </row>
    <row r="37" spans="1:12" x14ac:dyDescent="0.25">
      <c r="A37" s="32"/>
      <c r="B37" s="42"/>
      <c r="C37" s="42"/>
      <c r="D37" s="44">
        <v>671</v>
      </c>
      <c r="E37" s="44"/>
      <c r="F37" s="68" t="s">
        <v>48</v>
      </c>
      <c r="G37" s="63">
        <f>SUM(G38:G39)</f>
        <v>268758.60773773969</v>
      </c>
      <c r="H37" s="63">
        <f>SUM(H38)</f>
        <v>247174.26</v>
      </c>
      <c r="I37" s="63">
        <v>247388.27</v>
      </c>
      <c r="J37" s="64">
        <f>SUM(J38:J39)</f>
        <v>778488.56</v>
      </c>
      <c r="K37" s="88">
        <f t="shared" si="4"/>
        <v>289.66088437236795</v>
      </c>
      <c r="L37" s="89">
        <f t="shared" si="1"/>
        <v>314.68289098751529</v>
      </c>
    </row>
    <row r="38" spans="1:12" x14ac:dyDescent="0.25">
      <c r="B38" s="6"/>
      <c r="C38" s="6"/>
      <c r="D38" s="6"/>
      <c r="E38" s="6">
        <v>6711</v>
      </c>
      <c r="F38" s="24" t="s">
        <v>49</v>
      </c>
      <c r="G38" s="33">
        <f>1997143.73/7.5345</f>
        <v>265066.52465326164</v>
      </c>
      <c r="H38" s="33">
        <v>247174.26</v>
      </c>
      <c r="I38" s="33">
        <v>247388.27</v>
      </c>
      <c r="J38" s="35">
        <v>778488.56</v>
      </c>
      <c r="K38" s="90">
        <f t="shared" si="4"/>
        <v>293.6955396455117</v>
      </c>
      <c r="L38" s="89">
        <f t="shared" si="1"/>
        <v>314.68289098751529</v>
      </c>
    </row>
    <row r="39" spans="1:12" x14ac:dyDescent="0.25">
      <c r="B39" s="6"/>
      <c r="C39" s="6"/>
      <c r="D39" s="6"/>
      <c r="E39" s="6">
        <v>6712</v>
      </c>
      <c r="F39" s="24" t="s">
        <v>47</v>
      </c>
      <c r="G39" s="33">
        <f>27818/7.5345</f>
        <v>3692.0830844780676</v>
      </c>
      <c r="H39" s="33"/>
      <c r="I39" s="33"/>
      <c r="J39" s="35">
        <v>0</v>
      </c>
      <c r="K39" s="90">
        <f t="shared" si="4"/>
        <v>0</v>
      </c>
      <c r="L39" s="89" t="str">
        <f t="shared" si="1"/>
        <v/>
      </c>
    </row>
    <row r="40" spans="1:12" x14ac:dyDescent="0.25">
      <c r="B40" s="123">
        <v>7</v>
      </c>
      <c r="C40" s="121"/>
      <c r="D40" s="121"/>
      <c r="E40" s="121"/>
      <c r="F40" s="124" t="s">
        <v>131</v>
      </c>
      <c r="G40" s="164">
        <f>G41</f>
        <v>32.517088061583379</v>
      </c>
      <c r="H40" s="72"/>
      <c r="I40" s="72">
        <v>0</v>
      </c>
      <c r="J40" s="58"/>
      <c r="K40" s="122">
        <f t="shared" si="4"/>
        <v>0</v>
      </c>
      <c r="L40" s="89" t="str">
        <f t="shared" si="1"/>
        <v/>
      </c>
    </row>
    <row r="41" spans="1:12" x14ac:dyDescent="0.25">
      <c r="B41" s="6"/>
      <c r="C41" s="6">
        <v>72</v>
      </c>
      <c r="D41" s="6"/>
      <c r="E41" s="6"/>
      <c r="F41" s="24" t="s">
        <v>134</v>
      </c>
      <c r="G41" s="33">
        <f>G42</f>
        <v>32.517088061583379</v>
      </c>
      <c r="H41" s="33"/>
      <c r="I41" s="106"/>
      <c r="J41" s="35"/>
      <c r="K41" s="90"/>
      <c r="L41" s="89" t="str">
        <f t="shared" si="1"/>
        <v/>
      </c>
    </row>
    <row r="42" spans="1:12" x14ac:dyDescent="0.25">
      <c r="B42" s="6"/>
      <c r="C42" s="6"/>
      <c r="D42" s="6">
        <v>721</v>
      </c>
      <c r="E42" s="6"/>
      <c r="F42" s="24" t="s">
        <v>132</v>
      </c>
      <c r="G42" s="33">
        <f>G43</f>
        <v>32.517088061583379</v>
      </c>
      <c r="H42" s="33"/>
      <c r="I42" s="33">
        <v>0</v>
      </c>
      <c r="J42" s="35"/>
      <c r="K42" s="90"/>
      <c r="L42" s="89" t="str">
        <f t="shared" si="1"/>
        <v/>
      </c>
    </row>
    <row r="43" spans="1:12" x14ac:dyDescent="0.25">
      <c r="B43" s="6"/>
      <c r="C43" s="6"/>
      <c r="D43" s="6"/>
      <c r="E43" s="6">
        <v>7211</v>
      </c>
      <c r="F43" s="24" t="s">
        <v>133</v>
      </c>
      <c r="G43" s="33">
        <f>245/7.5345</f>
        <v>32.517088061583379</v>
      </c>
      <c r="H43" s="33"/>
      <c r="I43" s="33"/>
      <c r="J43" s="35"/>
      <c r="K43" s="90">
        <f>IFERROR(J43/G43*100,"")</f>
        <v>0</v>
      </c>
      <c r="L43" s="89" t="str">
        <f t="shared" si="1"/>
        <v/>
      </c>
    </row>
    <row r="44" spans="1:12" x14ac:dyDescent="0.25">
      <c r="B44" s="190"/>
      <c r="C44" s="190"/>
      <c r="D44" s="190"/>
      <c r="E44" s="190"/>
      <c r="F44" s="191"/>
      <c r="G44" s="192"/>
      <c r="H44" s="192"/>
      <c r="I44" s="192"/>
      <c r="J44" s="108"/>
      <c r="K44" s="98"/>
      <c r="L44" s="193"/>
    </row>
    <row r="45" spans="1:12" x14ac:dyDescent="0.25">
      <c r="B45" s="190"/>
      <c r="C45" s="190"/>
      <c r="D45" s="190"/>
      <c r="E45" s="190"/>
      <c r="F45" s="191"/>
      <c r="G45" s="192"/>
      <c r="H45" s="192"/>
      <c r="I45" s="192"/>
      <c r="J45" s="108"/>
      <c r="K45" s="98"/>
      <c r="L45" s="193"/>
    </row>
    <row r="46" spans="1:12" ht="15.75" customHeight="1" x14ac:dyDescent="0.25">
      <c r="H46" s="108"/>
    </row>
    <row r="47" spans="1:12" ht="15.75" customHeight="1" x14ac:dyDescent="0.25">
      <c r="B47" s="2"/>
      <c r="C47" s="2"/>
      <c r="D47" s="2"/>
      <c r="E47" s="2"/>
      <c r="F47" s="2"/>
      <c r="G47" s="161"/>
      <c r="H47" s="2"/>
      <c r="I47" s="2"/>
      <c r="J47" s="3"/>
      <c r="K47" s="3"/>
      <c r="L47" s="3"/>
    </row>
    <row r="48" spans="1:12" ht="33" customHeight="1" x14ac:dyDescent="0.25">
      <c r="B48" s="218" t="s">
        <v>6</v>
      </c>
      <c r="C48" s="219"/>
      <c r="D48" s="219"/>
      <c r="E48" s="219"/>
      <c r="F48" s="220"/>
      <c r="G48" s="162" t="s">
        <v>122</v>
      </c>
      <c r="H48" s="30" t="s">
        <v>25</v>
      </c>
      <c r="I48" s="30" t="s">
        <v>22</v>
      </c>
      <c r="J48" s="30" t="s">
        <v>123</v>
      </c>
      <c r="K48" s="30" t="s">
        <v>10</v>
      </c>
      <c r="L48" s="30" t="s">
        <v>23</v>
      </c>
    </row>
    <row r="49" spans="1:12" x14ac:dyDescent="0.25">
      <c r="A49" s="23"/>
      <c r="B49" s="221">
        <v>1</v>
      </c>
      <c r="C49" s="222"/>
      <c r="D49" s="222"/>
      <c r="E49" s="222"/>
      <c r="F49" s="223"/>
      <c r="G49" s="163">
        <v>2</v>
      </c>
      <c r="H49" s="31">
        <v>4</v>
      </c>
      <c r="I49" s="31">
        <v>3</v>
      </c>
      <c r="J49" s="31">
        <v>5</v>
      </c>
      <c r="K49" s="31" t="s">
        <v>12</v>
      </c>
      <c r="L49" s="31" t="s">
        <v>13</v>
      </c>
    </row>
    <row r="50" spans="1:12" x14ac:dyDescent="0.25">
      <c r="A50" s="32"/>
      <c r="B50" s="55"/>
      <c r="C50" s="55"/>
      <c r="D50" s="55"/>
      <c r="E50" s="55"/>
      <c r="F50" s="55" t="s">
        <v>20</v>
      </c>
      <c r="G50" s="73">
        <f>G51</f>
        <v>3490310.3629968809</v>
      </c>
      <c r="H50" s="73">
        <f>H51+H119</f>
        <v>11844340.57</v>
      </c>
      <c r="I50" s="73">
        <f>I51+I119</f>
        <v>10403535.370000001</v>
      </c>
      <c r="J50" s="57">
        <f>J51+J119</f>
        <v>7515063.9700000007</v>
      </c>
      <c r="K50" s="92">
        <f t="shared" ref="K50:K82" si="6">IFERROR(J50/G50*100,"")</f>
        <v>215.31219829824391</v>
      </c>
      <c r="L50" s="92">
        <f t="shared" ref="L50:L82" si="7">IFERROR(J50/I50*100,"")</f>
        <v>72.2356747271769</v>
      </c>
    </row>
    <row r="51" spans="1:12" x14ac:dyDescent="0.25">
      <c r="A51" s="32"/>
      <c r="B51" s="52">
        <v>3</v>
      </c>
      <c r="C51" s="52"/>
      <c r="D51" s="52"/>
      <c r="E51" s="52"/>
      <c r="F51" s="52" t="s">
        <v>3</v>
      </c>
      <c r="G51" s="72">
        <f>G52+G60+G93+G108+G112+G100+G103</f>
        <v>3490310.3629968809</v>
      </c>
      <c r="H51" s="72">
        <f>H52+H60+H93+H100+H103+H108+H112</f>
        <v>6198183.3500000006</v>
      </c>
      <c r="I51" s="72">
        <f>I52+I60+I93+I100+I103+I112+I108</f>
        <v>4588351.88</v>
      </c>
      <c r="J51" s="58">
        <f>J52+J60+J93+J108+J112+J100+J103</f>
        <v>4620563.6800000006</v>
      </c>
      <c r="K51" s="93">
        <f t="shared" si="6"/>
        <v>132.38260210282994</v>
      </c>
      <c r="L51" s="93">
        <f t="shared" si="7"/>
        <v>100.70203421277273</v>
      </c>
    </row>
    <row r="52" spans="1:12" x14ac:dyDescent="0.25">
      <c r="A52" s="32"/>
      <c r="B52" s="46"/>
      <c r="C52" s="46">
        <v>31</v>
      </c>
      <c r="D52" s="47"/>
      <c r="E52" s="47"/>
      <c r="F52" s="47" t="s">
        <v>4</v>
      </c>
      <c r="G52" s="71">
        <f>G53+G55+G57</f>
        <v>2115002.9504280309</v>
      </c>
      <c r="H52" s="71">
        <f>H53+H55+H57</f>
        <v>2688574.79</v>
      </c>
      <c r="I52" s="71">
        <f>I53+I55+I57</f>
        <v>2420370.52</v>
      </c>
      <c r="J52" s="67">
        <f>J53+J55+J57</f>
        <v>2515708.9699999997</v>
      </c>
      <c r="K52" s="94">
        <f t="shared" si="6"/>
        <v>118.94588466133698</v>
      </c>
      <c r="L52" s="94">
        <f t="shared" si="7"/>
        <v>103.93900228135318</v>
      </c>
    </row>
    <row r="53" spans="1:12" x14ac:dyDescent="0.25">
      <c r="A53" s="74"/>
      <c r="B53" s="42"/>
      <c r="C53" s="42"/>
      <c r="D53" s="42">
        <v>311</v>
      </c>
      <c r="E53" s="42"/>
      <c r="F53" s="42" t="s">
        <v>16</v>
      </c>
      <c r="G53" s="61">
        <f>SUM(G54)</f>
        <v>1753418.2334594198</v>
      </c>
      <c r="H53" s="61">
        <f>H54</f>
        <v>2233574.79</v>
      </c>
      <c r="I53" s="61">
        <f>SUM(I54)</f>
        <v>2045698.69</v>
      </c>
      <c r="J53" s="62">
        <f>J54</f>
        <v>2079288.17</v>
      </c>
      <c r="K53" s="91">
        <f t="shared" si="6"/>
        <v>118.58483790816139</v>
      </c>
      <c r="L53" s="91">
        <f t="shared" si="7"/>
        <v>101.6419563723727</v>
      </c>
    </row>
    <row r="54" spans="1:12" x14ac:dyDescent="0.25">
      <c r="A54" s="32"/>
      <c r="B54" s="6"/>
      <c r="C54" s="6"/>
      <c r="D54" s="6"/>
      <c r="E54" s="6">
        <v>3111</v>
      </c>
      <c r="F54" s="6" t="s">
        <v>17</v>
      </c>
      <c r="G54" s="33">
        <f>13211129.68/7.5345</f>
        <v>1753418.2334594198</v>
      </c>
      <c r="H54" s="33">
        <v>2233574.79</v>
      </c>
      <c r="I54" s="33">
        <f>626.56+81270.11+460530.63+12187.32+29968.76+33180.7+1427934.61</f>
        <v>2045698.69</v>
      </c>
      <c r="J54" s="35">
        <v>2079288.17</v>
      </c>
      <c r="K54" s="90">
        <f t="shared" si="6"/>
        <v>118.58483790816139</v>
      </c>
      <c r="L54" s="90">
        <f t="shared" si="7"/>
        <v>101.6419563723727</v>
      </c>
    </row>
    <row r="55" spans="1:12" x14ac:dyDescent="0.25">
      <c r="A55" s="32"/>
      <c r="B55" s="42"/>
      <c r="C55" s="42"/>
      <c r="D55" s="42">
        <v>312</v>
      </c>
      <c r="E55" s="42"/>
      <c r="F55" s="42"/>
      <c r="G55" s="63">
        <f>G56</f>
        <v>72172.246333532414</v>
      </c>
      <c r="H55" s="63">
        <f>H56</f>
        <v>90000</v>
      </c>
      <c r="I55" s="63">
        <f>I56</f>
        <v>45258.479999999996</v>
      </c>
      <c r="J55" s="64">
        <v>93641.17</v>
      </c>
      <c r="K55" s="88">
        <f t="shared" si="6"/>
        <v>129.74678599755981</v>
      </c>
      <c r="L55" s="88">
        <f t="shared" si="7"/>
        <v>206.90303783953857</v>
      </c>
    </row>
    <row r="56" spans="1:12" x14ac:dyDescent="0.25">
      <c r="A56" s="32"/>
      <c r="B56" s="6"/>
      <c r="C56" s="6"/>
      <c r="D56" s="6"/>
      <c r="E56" s="6">
        <v>3121</v>
      </c>
      <c r="F56" s="6" t="s">
        <v>50</v>
      </c>
      <c r="G56" s="33">
        <f>543781.79/7.5345</f>
        <v>72172.246333532414</v>
      </c>
      <c r="H56" s="33">
        <v>90000</v>
      </c>
      <c r="I56" s="33">
        <f>422.07+1037.88+43798.53</f>
        <v>45258.479999999996</v>
      </c>
      <c r="J56" s="35">
        <v>93641.17</v>
      </c>
      <c r="K56" s="90">
        <f t="shared" si="6"/>
        <v>129.74678599755981</v>
      </c>
      <c r="L56" s="90">
        <f t="shared" si="7"/>
        <v>206.90303783953857</v>
      </c>
    </row>
    <row r="57" spans="1:12" x14ac:dyDescent="0.25">
      <c r="A57" s="32"/>
      <c r="B57" s="42"/>
      <c r="C57" s="42"/>
      <c r="D57" s="42">
        <v>313</v>
      </c>
      <c r="E57" s="42"/>
      <c r="F57" s="42" t="s">
        <v>51</v>
      </c>
      <c r="G57" s="63">
        <f>SUM(G58:G59)</f>
        <v>289412.47063507861</v>
      </c>
      <c r="H57" s="63">
        <f>SUM(H58)</f>
        <v>365000</v>
      </c>
      <c r="I57" s="63">
        <f>SUM(I58:I59)</f>
        <v>329413.34999999998</v>
      </c>
      <c r="J57" s="64">
        <f>SUM(J58:J59)</f>
        <v>342779.63</v>
      </c>
      <c r="K57" s="88">
        <f t="shared" si="6"/>
        <v>118.43982716011303</v>
      </c>
      <c r="L57" s="88">
        <f t="shared" si="7"/>
        <v>104.05760118708001</v>
      </c>
    </row>
    <row r="58" spans="1:12" x14ac:dyDescent="0.25">
      <c r="A58" s="32"/>
      <c r="B58" s="6"/>
      <c r="C58" s="6"/>
      <c r="D58" s="6"/>
      <c r="E58" s="6">
        <v>3132</v>
      </c>
      <c r="F58" s="6" t="s">
        <v>52</v>
      </c>
      <c r="G58" s="33">
        <f>2178776.56/7.5345</f>
        <v>289173.34395115799</v>
      </c>
      <c r="H58" s="33">
        <v>365000</v>
      </c>
      <c r="I58" s="33">
        <f>103.39+12190.52+69079.59+2010.92+4944.88+5375.27+235708.78</f>
        <v>329413.34999999998</v>
      </c>
      <c r="J58" s="35">
        <v>342723.5</v>
      </c>
      <c r="K58" s="90">
        <f t="shared" si="6"/>
        <v>118.51835833730469</v>
      </c>
      <c r="L58" s="90">
        <f t="shared" si="7"/>
        <v>104.04056180479633</v>
      </c>
    </row>
    <row r="59" spans="1:12" x14ac:dyDescent="0.25">
      <c r="A59" s="32"/>
      <c r="B59" s="6"/>
      <c r="C59" s="6"/>
      <c r="D59" s="6"/>
      <c r="E59" s="6">
        <v>3133</v>
      </c>
      <c r="F59" s="6" t="s">
        <v>53</v>
      </c>
      <c r="G59" s="33">
        <f>1801.7/7.5345</f>
        <v>239.12668392063176</v>
      </c>
      <c r="H59" s="33"/>
      <c r="I59" s="33"/>
      <c r="J59" s="35">
        <v>56.13</v>
      </c>
      <c r="K59" s="90">
        <f t="shared" si="6"/>
        <v>23.472913637120499</v>
      </c>
      <c r="L59" s="90" t="str">
        <f t="shared" si="7"/>
        <v/>
      </c>
    </row>
    <row r="60" spans="1:12" x14ac:dyDescent="0.25">
      <c r="A60" s="32"/>
      <c r="B60" s="48"/>
      <c r="C60" s="50">
        <v>32</v>
      </c>
      <c r="D60" s="49"/>
      <c r="E60" s="49"/>
      <c r="F60" s="48" t="s">
        <v>9</v>
      </c>
      <c r="G60" s="71">
        <f>G61+G66+G73+G85+G83</f>
        <v>981890.7094034109</v>
      </c>
      <c r="H60" s="71">
        <f>H61+H66+H73+H85</f>
        <v>2575739.62</v>
      </c>
      <c r="I60" s="71">
        <f>I61+I66+I73+I85+I83</f>
        <v>1512184.7999999998</v>
      </c>
      <c r="J60" s="67">
        <f>J61+J66+J73+J85</f>
        <v>1665053.35</v>
      </c>
      <c r="K60" s="94">
        <f t="shared" si="6"/>
        <v>169.57624041596986</v>
      </c>
      <c r="L60" s="94">
        <f t="shared" si="7"/>
        <v>110.10911827707832</v>
      </c>
    </row>
    <row r="61" spans="1:12" x14ac:dyDescent="0.25">
      <c r="A61" s="32"/>
      <c r="B61" s="42"/>
      <c r="C61" s="42"/>
      <c r="D61" s="42">
        <v>321</v>
      </c>
      <c r="E61" s="42"/>
      <c r="F61" s="42" t="s">
        <v>18</v>
      </c>
      <c r="G61" s="63">
        <f>SUM(G62:G65)</f>
        <v>91449.660893224514</v>
      </c>
      <c r="H61" s="63">
        <f>SUM(H62:H65)</f>
        <v>155865.81</v>
      </c>
      <c r="I61" s="63">
        <f>SUM(I62:I65)</f>
        <v>117683.72</v>
      </c>
      <c r="J61" s="64">
        <f>SUM(J62:J65)</f>
        <v>130762.06</v>
      </c>
      <c r="K61" s="88">
        <f t="shared" si="6"/>
        <v>142.9880206474206</v>
      </c>
      <c r="L61" s="88">
        <f t="shared" si="7"/>
        <v>111.11312592769839</v>
      </c>
    </row>
    <row r="62" spans="1:12" x14ac:dyDescent="0.25">
      <c r="A62" s="32"/>
      <c r="B62" s="6"/>
      <c r="C62" s="19"/>
      <c r="D62" s="6"/>
      <c r="E62" s="6">
        <v>3211</v>
      </c>
      <c r="F62" s="24" t="s">
        <v>19</v>
      </c>
      <c r="G62" s="33">
        <f>393475.84/7.5345</f>
        <v>52223.218528104058</v>
      </c>
      <c r="H62" s="33">
        <v>120000</v>
      </c>
      <c r="I62" s="33">
        <f>5840.89+33098.39+1085.88+2670.18+29862.63+3981.68-500</f>
        <v>76039.649999999994</v>
      </c>
      <c r="J62" s="35">
        <v>91975.44</v>
      </c>
      <c r="K62" s="90">
        <f t="shared" si="6"/>
        <v>176.1198229299161</v>
      </c>
      <c r="L62" s="90">
        <f t="shared" si="7"/>
        <v>120.95721113918859</v>
      </c>
    </row>
    <row r="63" spans="1:12" x14ac:dyDescent="0.25">
      <c r="A63" s="32"/>
      <c r="B63" s="6"/>
      <c r="C63" s="19"/>
      <c r="D63" s="7"/>
      <c r="E63" s="7">
        <v>3212</v>
      </c>
      <c r="F63" s="7" t="s">
        <v>54</v>
      </c>
      <c r="G63" s="33">
        <f>289117.63/7.5345</f>
        <v>38372.503815780743</v>
      </c>
      <c r="H63" s="33">
        <v>35365.81</v>
      </c>
      <c r="I63" s="33">
        <v>41144.07</v>
      </c>
      <c r="J63" s="35">
        <v>38281.620000000003</v>
      </c>
      <c r="K63" s="90">
        <f t="shared" si="6"/>
        <v>99.763153803522812</v>
      </c>
      <c r="L63" s="90">
        <f t="shared" si="7"/>
        <v>93.042861340650077</v>
      </c>
    </row>
    <row r="64" spans="1:12" x14ac:dyDescent="0.25">
      <c r="A64" s="32"/>
      <c r="B64" s="6"/>
      <c r="C64" s="19"/>
      <c r="D64" s="7"/>
      <c r="E64" s="7">
        <v>3213</v>
      </c>
      <c r="F64" s="7" t="s">
        <v>55</v>
      </c>
      <c r="G64" s="33">
        <f>4700/7.5345</f>
        <v>623.79719954874247</v>
      </c>
      <c r="H64" s="33">
        <v>500</v>
      </c>
      <c r="I64" s="33">
        <v>500</v>
      </c>
      <c r="J64" s="35">
        <v>505</v>
      </c>
      <c r="K64" s="90">
        <f t="shared" si="6"/>
        <v>80.955797872340412</v>
      </c>
      <c r="L64" s="90">
        <f t="shared" si="7"/>
        <v>101</v>
      </c>
    </row>
    <row r="65" spans="1:12" x14ac:dyDescent="0.25">
      <c r="A65" s="32"/>
      <c r="B65" s="6"/>
      <c r="C65" s="19"/>
      <c r="D65" s="7"/>
      <c r="E65" s="7">
        <v>3214</v>
      </c>
      <c r="F65" s="7" t="s">
        <v>142</v>
      </c>
      <c r="G65" s="33">
        <f>1734/7.5345</f>
        <v>230.14134979096156</v>
      </c>
      <c r="H65" s="33"/>
      <c r="I65" s="33"/>
      <c r="J65" s="35"/>
      <c r="K65" s="90">
        <f t="shared" si="6"/>
        <v>0</v>
      </c>
      <c r="L65" s="90" t="str">
        <f t="shared" si="7"/>
        <v/>
      </c>
    </row>
    <row r="66" spans="1:12" x14ac:dyDescent="0.25">
      <c r="A66" s="32"/>
      <c r="B66" s="42"/>
      <c r="C66" s="43"/>
      <c r="D66" s="44">
        <v>322</v>
      </c>
      <c r="E66" s="44"/>
      <c r="F66" s="44" t="s">
        <v>103</v>
      </c>
      <c r="G66" s="63">
        <f>SUM(G67:G72)</f>
        <v>125029.48702634548</v>
      </c>
      <c r="H66" s="63">
        <f>SUM(H67:H72)</f>
        <v>206649.72</v>
      </c>
      <c r="I66" s="63">
        <f>SUM(I67:I72)</f>
        <v>130666.66</v>
      </c>
      <c r="J66" s="64">
        <f>SUM(J67:J72)</f>
        <v>133940.43</v>
      </c>
      <c r="K66" s="88">
        <f t="shared" si="6"/>
        <v>107.12707312937854</v>
      </c>
      <c r="L66" s="90">
        <f t="shared" si="7"/>
        <v>102.50543635231817</v>
      </c>
    </row>
    <row r="67" spans="1:12" x14ac:dyDescent="0.25">
      <c r="A67" s="32"/>
      <c r="B67" s="6"/>
      <c r="C67" s="19"/>
      <c r="D67" s="7"/>
      <c r="E67" s="7">
        <v>3221</v>
      </c>
      <c r="F67" s="7" t="s">
        <v>56</v>
      </c>
      <c r="G67" s="33">
        <f>382221.72/7.5345</f>
        <v>50729.540115468837</v>
      </c>
      <c r="H67" s="33">
        <f>50000+69083.06</f>
        <v>119083.06</v>
      </c>
      <c r="I67" s="33">
        <v>42000</v>
      </c>
      <c r="J67" s="35">
        <v>47201.89</v>
      </c>
      <c r="K67" s="90">
        <f t="shared" si="6"/>
        <v>93.046161846846388</v>
      </c>
      <c r="L67" s="90">
        <f t="shared" si="7"/>
        <v>112.38545238095239</v>
      </c>
    </row>
    <row r="68" spans="1:12" x14ac:dyDescent="0.25">
      <c r="A68" s="32"/>
      <c r="B68" s="6"/>
      <c r="C68" s="19"/>
      <c r="D68" s="7"/>
      <c r="E68" s="7">
        <v>3222</v>
      </c>
      <c r="F68" s="7" t="s">
        <v>137</v>
      </c>
      <c r="G68" s="33"/>
      <c r="H68" s="33"/>
      <c r="I68" s="33"/>
      <c r="J68" s="35">
        <v>831.84</v>
      </c>
      <c r="K68" s="90" t="str">
        <f t="shared" si="6"/>
        <v/>
      </c>
      <c r="L68" s="90" t="str">
        <f t="shared" si="7"/>
        <v/>
      </c>
    </row>
    <row r="69" spans="1:12" x14ac:dyDescent="0.25">
      <c r="A69" s="32"/>
      <c r="B69" s="6"/>
      <c r="C69" s="19"/>
      <c r="D69" s="7"/>
      <c r="E69" s="7">
        <v>3223</v>
      </c>
      <c r="F69" s="7" t="s">
        <v>57</v>
      </c>
      <c r="G69" s="33">
        <f>469081.69/7.5345</f>
        <v>62257.839272679004</v>
      </c>
      <c r="H69" s="33">
        <v>70426.320000000007</v>
      </c>
      <c r="I69" s="33">
        <f>30000*0.92+43926.32</f>
        <v>71526.320000000007</v>
      </c>
      <c r="J69" s="35">
        <v>66326.34</v>
      </c>
      <c r="K69" s="90">
        <f t="shared" si="6"/>
        <v>106.53492118398398</v>
      </c>
      <c r="L69" s="90">
        <f t="shared" si="7"/>
        <v>92.729976881237548</v>
      </c>
    </row>
    <row r="70" spans="1:12" x14ac:dyDescent="0.25">
      <c r="A70" s="32"/>
      <c r="B70" s="6"/>
      <c r="C70" s="19"/>
      <c r="D70" s="7"/>
      <c r="E70" s="7">
        <v>3225</v>
      </c>
      <c r="F70" s="7" t="s">
        <v>94</v>
      </c>
      <c r="G70" s="33">
        <f>3386.11/7.5345</f>
        <v>449.41402880084939</v>
      </c>
      <c r="H70" s="33">
        <v>2000</v>
      </c>
      <c r="I70" s="33">
        <v>2000</v>
      </c>
      <c r="J70" s="35">
        <v>1857.38</v>
      </c>
      <c r="K70" s="90">
        <f t="shared" si="6"/>
        <v>413.28927914332382</v>
      </c>
      <c r="L70" s="90">
        <f t="shared" si="7"/>
        <v>92.869</v>
      </c>
    </row>
    <row r="71" spans="1:12" x14ac:dyDescent="0.25">
      <c r="A71" s="32"/>
      <c r="B71" s="6"/>
      <c r="C71" s="19"/>
      <c r="D71" s="7"/>
      <c r="E71" s="7">
        <v>3224</v>
      </c>
      <c r="F71" s="7" t="s">
        <v>58</v>
      </c>
      <c r="G71" s="33">
        <f>83184.13/7.5345</f>
        <v>11040.431349127348</v>
      </c>
      <c r="H71" s="33">
        <v>14981.68</v>
      </c>
      <c r="I71" s="33">
        <f>11000+3981.68</f>
        <v>14981.68</v>
      </c>
      <c r="J71" s="35">
        <v>17641.98</v>
      </c>
      <c r="K71" s="90">
        <f t="shared" si="6"/>
        <v>159.79430007863277</v>
      </c>
      <c r="L71" s="90">
        <f t="shared" si="7"/>
        <v>117.75702057446161</v>
      </c>
    </row>
    <row r="72" spans="1:12" x14ac:dyDescent="0.25">
      <c r="A72" s="32"/>
      <c r="B72" s="6"/>
      <c r="C72" s="19"/>
      <c r="D72" s="7"/>
      <c r="E72" s="7">
        <v>3227</v>
      </c>
      <c r="F72" s="7" t="s">
        <v>59</v>
      </c>
      <c r="G72" s="33">
        <f>4161.02/7.5345</f>
        <v>552.26226026942732</v>
      </c>
      <c r="H72" s="33">
        <v>158.66</v>
      </c>
      <c r="I72" s="33">
        <v>158.66</v>
      </c>
      <c r="J72" s="35">
        <v>81</v>
      </c>
      <c r="K72" s="90">
        <f t="shared" si="6"/>
        <v>14.666944643380708</v>
      </c>
      <c r="L72" s="90">
        <f t="shared" si="7"/>
        <v>51.052565233833356</v>
      </c>
    </row>
    <row r="73" spans="1:12" x14ac:dyDescent="0.25">
      <c r="A73" s="32"/>
      <c r="B73" s="42"/>
      <c r="C73" s="43"/>
      <c r="D73" s="44">
        <v>323</v>
      </c>
      <c r="E73" s="44"/>
      <c r="F73" s="44" t="s">
        <v>104</v>
      </c>
      <c r="G73" s="63">
        <f>SUM(G74:G82)</f>
        <v>617975.15561749274</v>
      </c>
      <c r="H73" s="63">
        <f>SUM(H74:H82)</f>
        <v>2077443.54</v>
      </c>
      <c r="I73" s="63">
        <f>SUM(I74:I82)</f>
        <v>1179105.77</v>
      </c>
      <c r="J73" s="64">
        <f>SUM(J74:J82)</f>
        <v>1293515.06</v>
      </c>
      <c r="K73" s="88">
        <f t="shared" si="6"/>
        <v>209.31505874333976</v>
      </c>
      <c r="L73" s="88">
        <f t="shared" si="7"/>
        <v>109.70305573180259</v>
      </c>
    </row>
    <row r="74" spans="1:12" x14ac:dyDescent="0.25">
      <c r="A74" s="32"/>
      <c r="B74" s="6"/>
      <c r="C74" s="19"/>
      <c r="D74" s="7"/>
      <c r="E74" s="7">
        <v>3231</v>
      </c>
      <c r="F74" s="7" t="s">
        <v>60</v>
      </c>
      <c r="G74" s="33">
        <f>45824.87/7.5345</f>
        <v>6082.005441635145</v>
      </c>
      <c r="H74" s="33">
        <v>5000</v>
      </c>
      <c r="I74" s="33">
        <v>5000</v>
      </c>
      <c r="J74" s="35">
        <v>5617.48</v>
      </c>
      <c r="K74" s="90">
        <f t="shared" si="6"/>
        <v>92.362298158183535</v>
      </c>
      <c r="L74" s="90">
        <f t="shared" si="7"/>
        <v>112.34959999999998</v>
      </c>
    </row>
    <row r="75" spans="1:12" x14ac:dyDescent="0.25">
      <c r="A75" s="32"/>
      <c r="B75" s="6"/>
      <c r="C75" s="19"/>
      <c r="D75" s="7"/>
      <c r="E75" s="7">
        <v>3232</v>
      </c>
      <c r="F75" s="7" t="s">
        <v>61</v>
      </c>
      <c r="G75" s="33">
        <f>57454.58/7.5345</f>
        <v>7625.5332138828053</v>
      </c>
      <c r="H75" s="33">
        <v>10000</v>
      </c>
      <c r="I75" s="33">
        <v>5000</v>
      </c>
      <c r="J75" s="35">
        <v>9740.14</v>
      </c>
      <c r="K75" s="90">
        <f t="shared" si="6"/>
        <v>127.73060882178584</v>
      </c>
      <c r="L75" s="90">
        <f t="shared" si="7"/>
        <v>194.80279999999999</v>
      </c>
    </row>
    <row r="76" spans="1:12" x14ac:dyDescent="0.25">
      <c r="A76" s="32"/>
      <c r="B76" s="6"/>
      <c r="C76" s="19"/>
      <c r="D76" s="7"/>
      <c r="E76" s="7">
        <v>3233</v>
      </c>
      <c r="F76" s="7" t="s">
        <v>62</v>
      </c>
      <c r="G76" s="33">
        <f>482209.25/7.5345</f>
        <v>64000.165903510511</v>
      </c>
      <c r="H76" s="33">
        <v>70000</v>
      </c>
      <c r="I76" s="33">
        <v>50778.53</v>
      </c>
      <c r="J76" s="35">
        <v>61754.74</v>
      </c>
      <c r="K76" s="90">
        <f t="shared" si="6"/>
        <v>96.491531120566449</v>
      </c>
      <c r="L76" s="90">
        <f t="shared" si="7"/>
        <v>121.61584827288226</v>
      </c>
    </row>
    <row r="77" spans="1:12" x14ac:dyDescent="0.25">
      <c r="A77" s="32"/>
      <c r="B77" s="6"/>
      <c r="C77" s="19"/>
      <c r="D77" s="7"/>
      <c r="E77" s="7">
        <v>3234</v>
      </c>
      <c r="F77" s="7" t="s">
        <v>63</v>
      </c>
      <c r="G77" s="33">
        <f>105068.18/7.5345</f>
        <v>13944.943924613443</v>
      </c>
      <c r="H77" s="33">
        <v>14000</v>
      </c>
      <c r="I77" s="33">
        <v>14000</v>
      </c>
      <c r="J77" s="35">
        <v>14842.72</v>
      </c>
      <c r="K77" s="90">
        <f t="shared" si="6"/>
        <v>106.43800419879742</v>
      </c>
      <c r="L77" s="90">
        <f t="shared" si="7"/>
        <v>106.01942857142856</v>
      </c>
    </row>
    <row r="78" spans="1:12" x14ac:dyDescent="0.25">
      <c r="A78" s="32"/>
      <c r="B78" s="6"/>
      <c r="C78" s="19"/>
      <c r="D78" s="7"/>
      <c r="E78" s="7">
        <v>3235</v>
      </c>
      <c r="F78" s="7" t="s">
        <v>64</v>
      </c>
      <c r="G78" s="33">
        <f>345000/7.5345</f>
        <v>45789.368903045986</v>
      </c>
      <c r="H78" s="33">
        <v>53752.79</v>
      </c>
      <c r="I78" s="33">
        <v>53752.79</v>
      </c>
      <c r="J78" s="35">
        <v>53752.79</v>
      </c>
      <c r="K78" s="90">
        <f t="shared" si="6"/>
        <v>117.39141920434784</v>
      </c>
      <c r="L78" s="90">
        <f t="shared" si="7"/>
        <v>100</v>
      </c>
    </row>
    <row r="79" spans="1:12" x14ac:dyDescent="0.25">
      <c r="A79" s="32"/>
      <c r="B79" s="6"/>
      <c r="C79" s="19"/>
      <c r="D79" s="7"/>
      <c r="E79" s="7">
        <v>3236</v>
      </c>
      <c r="F79" s="7" t="s">
        <v>95</v>
      </c>
      <c r="G79" s="33">
        <f>50490/7.5345</f>
        <v>6701.1745968544692</v>
      </c>
      <c r="H79" s="33">
        <v>5574.45</v>
      </c>
      <c r="I79" s="33">
        <v>5574.45</v>
      </c>
      <c r="J79" s="35">
        <v>7007.88</v>
      </c>
      <c r="K79" s="90">
        <f t="shared" si="6"/>
        <v>104.57689019607844</v>
      </c>
      <c r="L79" s="90">
        <f t="shared" si="7"/>
        <v>125.71428571428571</v>
      </c>
    </row>
    <row r="80" spans="1:12" x14ac:dyDescent="0.25">
      <c r="A80" s="32"/>
      <c r="B80" s="6"/>
      <c r="C80" s="19"/>
      <c r="D80" s="7"/>
      <c r="E80" s="7">
        <v>3237</v>
      </c>
      <c r="F80" s="7" t="s">
        <v>65</v>
      </c>
      <c r="G80" s="33">
        <f>3227663.4/7.5345</f>
        <v>428384.55106510047</v>
      </c>
      <c r="H80" s="33">
        <f>1181210.76+105560.54+517345</f>
        <v>1804116.3</v>
      </c>
      <c r="I80" s="33">
        <v>950000</v>
      </c>
      <c r="J80" s="35">
        <v>992980.99</v>
      </c>
      <c r="K80" s="90">
        <f t="shared" si="6"/>
        <v>231.79663868156143</v>
      </c>
      <c r="L80" s="90">
        <f t="shared" si="7"/>
        <v>104.5243147368421</v>
      </c>
    </row>
    <row r="81" spans="1:12" x14ac:dyDescent="0.25">
      <c r="A81" s="32"/>
      <c r="B81" s="6"/>
      <c r="C81" s="19"/>
      <c r="D81" s="7"/>
      <c r="E81" s="7">
        <v>3238</v>
      </c>
      <c r="F81" s="7" t="s">
        <v>66</v>
      </c>
      <c r="G81" s="33">
        <f>67786.34/7.5345</f>
        <v>8996.7934169487016</v>
      </c>
      <c r="H81" s="33">
        <v>15000</v>
      </c>
      <c r="I81" s="33">
        <v>10000</v>
      </c>
      <c r="J81" s="35">
        <v>13549.11</v>
      </c>
      <c r="K81" s="90">
        <f t="shared" si="6"/>
        <v>150.59932324860733</v>
      </c>
      <c r="L81" s="90">
        <f t="shared" si="7"/>
        <v>135.49109999999999</v>
      </c>
    </row>
    <row r="82" spans="1:12" x14ac:dyDescent="0.25">
      <c r="A82" s="32"/>
      <c r="B82" s="6"/>
      <c r="C82" s="19"/>
      <c r="D82" s="7"/>
      <c r="E82" s="7">
        <v>3239</v>
      </c>
      <c r="F82" s="7" t="s">
        <v>67</v>
      </c>
      <c r="G82" s="33">
        <f>274637.19/7.5345</f>
        <v>36450.61915190125</v>
      </c>
      <c r="H82" s="33">
        <v>100000</v>
      </c>
      <c r="I82" s="33">
        <v>85000</v>
      </c>
      <c r="J82" s="35">
        <v>134269.21</v>
      </c>
      <c r="K82" s="90">
        <f t="shared" si="6"/>
        <v>368.35920246089034</v>
      </c>
      <c r="L82" s="90">
        <f t="shared" si="7"/>
        <v>157.96377647058824</v>
      </c>
    </row>
    <row r="83" spans="1:12" x14ac:dyDescent="0.25">
      <c r="A83" s="32"/>
      <c r="B83" s="114"/>
      <c r="C83" s="115"/>
      <c r="D83" s="116">
        <v>324</v>
      </c>
      <c r="E83" s="116"/>
      <c r="F83" s="116" t="s">
        <v>171</v>
      </c>
      <c r="G83" s="166">
        <f>G84</f>
        <v>264.24978432543634</v>
      </c>
      <c r="H83" s="118">
        <v>0</v>
      </c>
      <c r="I83" s="118">
        <v>0</v>
      </c>
      <c r="J83" s="165"/>
      <c r="K83" s="120"/>
      <c r="L83" s="120"/>
    </row>
    <row r="84" spans="1:12" x14ac:dyDescent="0.25">
      <c r="A84" s="32"/>
      <c r="B84" s="6"/>
      <c r="C84" s="19"/>
      <c r="D84" s="7"/>
      <c r="E84" s="7">
        <v>3241</v>
      </c>
      <c r="F84" s="7" t="s">
        <v>171</v>
      </c>
      <c r="G84" s="33">
        <f>1990.99/7.5345</f>
        <v>264.24978432543634</v>
      </c>
      <c r="H84" s="33"/>
      <c r="I84" s="33">
        <v>0</v>
      </c>
      <c r="J84" s="157"/>
      <c r="K84" s="90"/>
      <c r="L84" s="90"/>
    </row>
    <row r="85" spans="1:12" x14ac:dyDescent="0.25">
      <c r="A85" s="32"/>
      <c r="B85" s="42"/>
      <c r="C85" s="43"/>
      <c r="D85" s="44">
        <v>329</v>
      </c>
      <c r="E85" s="44"/>
      <c r="F85" s="44" t="s">
        <v>102</v>
      </c>
      <c r="G85" s="167">
        <f>SUM(G86:G92)</f>
        <v>147172.1560820227</v>
      </c>
      <c r="H85" s="63">
        <f>SUM(H86:H92)</f>
        <v>135780.54999999999</v>
      </c>
      <c r="I85" s="63">
        <f>SUM(I86:I92)</f>
        <v>84728.65</v>
      </c>
      <c r="J85" s="64">
        <f>SUM(J86:J92)</f>
        <v>106835.79999999999</v>
      </c>
      <c r="K85" s="88">
        <f t="shared" ref="K85:K94" si="8">IFERROR(J85/G85*100,"")</f>
        <v>72.592399842574665</v>
      </c>
      <c r="L85" s="88">
        <f t="shared" ref="L85:L94" si="9">IFERROR(J85/I85*100,"")</f>
        <v>126.09170569813162</v>
      </c>
    </row>
    <row r="86" spans="1:12" x14ac:dyDescent="0.25">
      <c r="A86" s="32"/>
      <c r="B86" s="6"/>
      <c r="C86" s="19"/>
      <c r="D86" s="7"/>
      <c r="E86" s="7">
        <v>3291</v>
      </c>
      <c r="F86" s="7" t="s">
        <v>96</v>
      </c>
      <c r="G86" s="33"/>
      <c r="H86" s="33"/>
      <c r="I86" s="33"/>
      <c r="J86" s="35"/>
      <c r="K86" s="90" t="str">
        <f t="shared" si="8"/>
        <v/>
      </c>
      <c r="L86" s="90" t="str">
        <f t="shared" si="9"/>
        <v/>
      </c>
    </row>
    <row r="87" spans="1:12" x14ac:dyDescent="0.25">
      <c r="A87" s="32"/>
      <c r="B87" s="6"/>
      <c r="C87" s="19"/>
      <c r="D87" s="7"/>
      <c r="E87" s="7">
        <v>3292</v>
      </c>
      <c r="F87" s="7" t="s">
        <v>97</v>
      </c>
      <c r="G87" s="33"/>
      <c r="H87" s="33"/>
      <c r="I87" s="33"/>
      <c r="J87" s="35">
        <v>1394.64</v>
      </c>
      <c r="K87" s="90" t="str">
        <f t="shared" si="8"/>
        <v/>
      </c>
      <c r="L87" s="90" t="str">
        <f t="shared" si="9"/>
        <v/>
      </c>
    </row>
    <row r="88" spans="1:12" x14ac:dyDescent="0.25">
      <c r="A88" s="32"/>
      <c r="B88" s="6"/>
      <c r="C88" s="19"/>
      <c r="D88" s="7"/>
      <c r="E88" s="7">
        <v>3293</v>
      </c>
      <c r="F88" s="7" t="s">
        <v>98</v>
      </c>
      <c r="G88" s="33">
        <f>71601.74/7.5345</f>
        <v>9503.1840201738669</v>
      </c>
      <c r="H88" s="33">
        <v>15000</v>
      </c>
      <c r="I88" s="33">
        <v>3915.33</v>
      </c>
      <c r="J88" s="35">
        <v>11338.99</v>
      </c>
      <c r="K88" s="90">
        <f t="shared" si="8"/>
        <v>119.31779891801513</v>
      </c>
      <c r="L88" s="90">
        <f t="shared" si="9"/>
        <v>289.60496305547679</v>
      </c>
    </row>
    <row r="89" spans="1:12" x14ac:dyDescent="0.25">
      <c r="A89" s="32"/>
      <c r="B89" s="6"/>
      <c r="C89" s="19"/>
      <c r="D89" s="7"/>
      <c r="E89" s="7">
        <v>3294</v>
      </c>
      <c r="F89" s="7" t="s">
        <v>99</v>
      </c>
      <c r="G89" s="33">
        <f>1550/7.5345</f>
        <v>205.72035304267038</v>
      </c>
      <c r="H89" s="33">
        <v>200</v>
      </c>
      <c r="I89" s="33"/>
      <c r="J89" s="35">
        <v>213.27</v>
      </c>
      <c r="K89" s="90">
        <f t="shared" si="8"/>
        <v>103.66985903225807</v>
      </c>
      <c r="L89" s="90" t="str">
        <f t="shared" si="9"/>
        <v/>
      </c>
    </row>
    <row r="90" spans="1:12" x14ac:dyDescent="0.25">
      <c r="A90" s="32"/>
      <c r="B90" s="6"/>
      <c r="C90" s="19"/>
      <c r="D90" s="7"/>
      <c r="E90" s="7">
        <v>3295</v>
      </c>
      <c r="F90" s="7" t="s">
        <v>100</v>
      </c>
      <c r="G90" s="33">
        <f>74199.66/7.5345</f>
        <v>9847.987258610392</v>
      </c>
      <c r="H90" s="33">
        <v>5000</v>
      </c>
      <c r="I90" s="33">
        <v>2654.46</v>
      </c>
      <c r="J90" s="35">
        <v>5556.26</v>
      </c>
      <c r="K90" s="90">
        <f t="shared" si="8"/>
        <v>56.42025983677015</v>
      </c>
      <c r="L90" s="90">
        <f t="shared" si="9"/>
        <v>209.31790269960743</v>
      </c>
    </row>
    <row r="91" spans="1:12" x14ac:dyDescent="0.25">
      <c r="A91" s="32"/>
      <c r="B91" s="6"/>
      <c r="C91" s="19"/>
      <c r="D91" s="7"/>
      <c r="E91" s="7">
        <v>3296</v>
      </c>
      <c r="F91" s="7" t="s">
        <v>101</v>
      </c>
      <c r="G91" s="33">
        <f>141685.17/7.5345</f>
        <v>18804.853673103724</v>
      </c>
      <c r="H91" s="33">
        <v>5000</v>
      </c>
      <c r="I91" s="33">
        <v>8479.39</v>
      </c>
      <c r="J91" s="35">
        <f>3124.79+269.56</f>
        <v>3394.35</v>
      </c>
      <c r="K91" s="90">
        <f t="shared" si="8"/>
        <v>18.050393047486899</v>
      </c>
      <c r="L91" s="90">
        <f t="shared" si="9"/>
        <v>40.030591823232569</v>
      </c>
    </row>
    <row r="92" spans="1:12" x14ac:dyDescent="0.25">
      <c r="A92" s="32"/>
      <c r="B92" s="6"/>
      <c r="C92" s="19"/>
      <c r="D92" s="7"/>
      <c r="E92" s="7">
        <v>3299</v>
      </c>
      <c r="F92" s="7" t="s">
        <v>102</v>
      </c>
      <c r="G92" s="33">
        <f>819832.04/7.5345</f>
        <v>108810.41077709204</v>
      </c>
      <c r="H92" s="33">
        <f>80000+30580.55</f>
        <v>110580.55</v>
      </c>
      <c r="I92" s="33">
        <v>69679.47</v>
      </c>
      <c r="J92" s="157">
        <v>84938.29</v>
      </c>
      <c r="K92" s="90">
        <f t="shared" si="8"/>
        <v>78.060811822504519</v>
      </c>
      <c r="L92" s="90">
        <f t="shared" si="9"/>
        <v>121.89858791979904</v>
      </c>
    </row>
    <row r="93" spans="1:12" x14ac:dyDescent="0.25">
      <c r="A93" s="32"/>
      <c r="B93" s="48"/>
      <c r="C93" s="50">
        <v>34</v>
      </c>
      <c r="D93" s="49"/>
      <c r="E93" s="49"/>
      <c r="F93" s="49" t="s">
        <v>83</v>
      </c>
      <c r="G93" s="172">
        <f>G94</f>
        <v>6777.9374875572366</v>
      </c>
      <c r="H93" s="71">
        <f>SUM(H94)</f>
        <v>3981.69</v>
      </c>
      <c r="I93" s="172">
        <f>I94</f>
        <v>3981.69</v>
      </c>
      <c r="J93" s="67">
        <f>J94</f>
        <v>3161.6</v>
      </c>
      <c r="K93" s="94">
        <f t="shared" si="8"/>
        <v>46.645458235694619</v>
      </c>
      <c r="L93" s="94">
        <f t="shared" si="9"/>
        <v>79.403469381091938</v>
      </c>
    </row>
    <row r="94" spans="1:12" x14ac:dyDescent="0.25">
      <c r="A94" s="32"/>
      <c r="B94" s="42"/>
      <c r="C94" s="43"/>
      <c r="D94" s="44">
        <v>343</v>
      </c>
      <c r="E94" s="44"/>
      <c r="F94" s="44" t="s">
        <v>105</v>
      </c>
      <c r="G94" s="63">
        <f>SUM(G95:G99)</f>
        <v>6777.9374875572366</v>
      </c>
      <c r="H94" s="63">
        <f>SUM(H95:H99)</f>
        <v>3981.69</v>
      </c>
      <c r="I94" s="63">
        <f>SUM(I95:I99)</f>
        <v>3981.69</v>
      </c>
      <c r="J94" s="64">
        <f>SUM(J95:J99)</f>
        <v>3161.6</v>
      </c>
      <c r="K94" s="88">
        <f t="shared" si="8"/>
        <v>46.645458235694619</v>
      </c>
      <c r="L94" s="88">
        <f t="shared" si="9"/>
        <v>79.403469381091938</v>
      </c>
    </row>
    <row r="95" spans="1:12" ht="41.25" customHeight="1" x14ac:dyDescent="0.25">
      <c r="A95" s="32"/>
      <c r="B95" s="6"/>
      <c r="C95" s="19"/>
      <c r="D95" s="7"/>
      <c r="E95" s="7">
        <v>3423</v>
      </c>
      <c r="F95" s="9" t="s">
        <v>158</v>
      </c>
      <c r="G95" s="33"/>
      <c r="H95" s="33"/>
      <c r="I95" s="33"/>
      <c r="J95" s="69">
        <v>218.28</v>
      </c>
      <c r="K95" s="89"/>
      <c r="L95" s="89"/>
    </row>
    <row r="96" spans="1:12" x14ac:dyDescent="0.25">
      <c r="A96" s="32"/>
      <c r="B96" s="6"/>
      <c r="C96" s="19"/>
      <c r="D96" s="7"/>
      <c r="E96" s="7">
        <v>3431</v>
      </c>
      <c r="F96" s="7" t="s">
        <v>106</v>
      </c>
      <c r="G96" s="33">
        <f>8662.44/7.5345</f>
        <v>1149.7033645231934</v>
      </c>
      <c r="H96" s="33">
        <v>1327.23</v>
      </c>
      <c r="I96" s="33">
        <v>1327.23</v>
      </c>
      <c r="J96" s="35">
        <v>1407.95</v>
      </c>
      <c r="K96" s="90">
        <f>IFERROR(J96/G96*100,"")</f>
        <v>122.46202311358002</v>
      </c>
      <c r="L96" s="90">
        <f t="shared" ref="L96:L132" si="10">IFERROR(J96/I96*100,"")</f>
        <v>106.0818396208645</v>
      </c>
    </row>
    <row r="97" spans="1:12" x14ac:dyDescent="0.25">
      <c r="B97" s="6"/>
      <c r="C97" s="19"/>
      <c r="D97" s="7"/>
      <c r="E97" s="7">
        <v>3432</v>
      </c>
      <c r="F97" s="7" t="s">
        <v>107</v>
      </c>
      <c r="G97" s="33"/>
      <c r="H97" s="33"/>
      <c r="I97" s="33"/>
      <c r="J97" s="35">
        <v>0</v>
      </c>
      <c r="K97" s="90" t="str">
        <f>IFERROR(J97/G97*100,"")</f>
        <v/>
      </c>
      <c r="L97" s="90" t="str">
        <f t="shared" si="10"/>
        <v/>
      </c>
    </row>
    <row r="98" spans="1:12" x14ac:dyDescent="0.25">
      <c r="A98" s="32"/>
      <c r="B98" s="6"/>
      <c r="C98" s="19"/>
      <c r="D98" s="7"/>
      <c r="E98" s="7">
        <v>3433</v>
      </c>
      <c r="F98" s="7" t="s">
        <v>108</v>
      </c>
      <c r="G98" s="33">
        <f>42405.93/7.5345</f>
        <v>5628.2341230340435</v>
      </c>
      <c r="H98" s="33">
        <v>2654.46</v>
      </c>
      <c r="I98" s="33">
        <v>2654.46</v>
      </c>
      <c r="J98" s="35">
        <v>1535.37</v>
      </c>
      <c r="K98" s="90">
        <f>IFERROR(J98/G98*100,"")</f>
        <v>27.279782013977758</v>
      </c>
      <c r="L98" s="90">
        <f t="shared" si="10"/>
        <v>57.841142831310322</v>
      </c>
    </row>
    <row r="99" spans="1:12" x14ac:dyDescent="0.25">
      <c r="A99" s="32"/>
      <c r="B99" s="6"/>
      <c r="C99" s="19"/>
      <c r="D99" s="7"/>
      <c r="E99" s="7">
        <v>3434</v>
      </c>
      <c r="F99" s="7" t="s">
        <v>109</v>
      </c>
      <c r="G99" s="33">
        <v>0</v>
      </c>
      <c r="H99" s="33"/>
      <c r="I99" s="33"/>
      <c r="J99" s="35">
        <v>0</v>
      </c>
      <c r="K99" s="90" t="str">
        <f>IFERROR(J99/G99*100,"")</f>
        <v/>
      </c>
      <c r="L99" s="90" t="str">
        <f t="shared" si="10"/>
        <v/>
      </c>
    </row>
    <row r="100" spans="1:12" x14ac:dyDescent="0.25">
      <c r="A100" s="32"/>
      <c r="B100" s="150"/>
      <c r="C100" s="154">
        <v>35</v>
      </c>
      <c r="D100" s="155"/>
      <c r="E100" s="155"/>
      <c r="F100" s="155" t="s">
        <v>159</v>
      </c>
      <c r="G100" s="173">
        <f>SUM(G101:G102)</f>
        <v>34294.70303271617</v>
      </c>
      <c r="H100" s="173">
        <f>SUM(H101:H102)</f>
        <v>42690.409999999996</v>
      </c>
      <c r="I100" s="173">
        <f>SUM(I101:I102)</f>
        <v>30135.25</v>
      </c>
      <c r="J100" s="159">
        <f>SUM(J101:J102)</f>
        <v>37306.04</v>
      </c>
      <c r="K100" s="156"/>
      <c r="L100" s="90">
        <f t="shared" si="10"/>
        <v>123.79535593698409</v>
      </c>
    </row>
    <row r="101" spans="1:12" ht="25.5" x14ac:dyDescent="0.25">
      <c r="A101" s="32"/>
      <c r="B101" s="6"/>
      <c r="C101" s="19"/>
      <c r="D101" s="7"/>
      <c r="E101" s="7">
        <v>3522</v>
      </c>
      <c r="F101" s="9" t="s">
        <v>160</v>
      </c>
      <c r="G101" s="33">
        <f>38759.02/7.5345</f>
        <v>5144.2059857986587</v>
      </c>
      <c r="H101" s="33">
        <v>6403.56</v>
      </c>
      <c r="I101" s="33">
        <v>4520.29</v>
      </c>
      <c r="J101" s="35">
        <v>5595.91</v>
      </c>
      <c r="K101" s="90"/>
      <c r="L101" s="90">
        <f t="shared" si="10"/>
        <v>123.79537596039192</v>
      </c>
    </row>
    <row r="102" spans="1:12" ht="25.5" x14ac:dyDescent="0.25">
      <c r="A102" s="32"/>
      <c r="B102" s="6"/>
      <c r="C102" s="19"/>
      <c r="D102" s="7"/>
      <c r="E102" s="7">
        <v>3531</v>
      </c>
      <c r="F102" s="9" t="s">
        <v>161</v>
      </c>
      <c r="G102" s="33">
        <f>219634.42/7.5345</f>
        <v>29150.497046917513</v>
      </c>
      <c r="H102" s="33">
        <v>36286.85</v>
      </c>
      <c r="I102" s="33">
        <v>25614.959999999999</v>
      </c>
      <c r="J102" s="35">
        <v>31710.13</v>
      </c>
      <c r="K102" s="90"/>
      <c r="L102" s="90">
        <f t="shared" si="10"/>
        <v>123.79535240343924</v>
      </c>
    </row>
    <row r="103" spans="1:12" x14ac:dyDescent="0.25">
      <c r="A103" s="32"/>
      <c r="B103" s="150"/>
      <c r="C103" s="154">
        <v>36</v>
      </c>
      <c r="D103" s="155"/>
      <c r="E103" s="155"/>
      <c r="F103" s="155" t="s">
        <v>162</v>
      </c>
      <c r="G103" s="173">
        <f>SUM(G104:G107)</f>
        <v>273287.45636737673</v>
      </c>
      <c r="H103" s="173">
        <f>SUM(H104:H107)</f>
        <v>779217.82000000007</v>
      </c>
      <c r="I103" s="173">
        <f>SUM(I104:I107)</f>
        <v>566297.71</v>
      </c>
      <c r="J103" s="159">
        <f>SUM(J104:J107)</f>
        <v>310950.03000000003</v>
      </c>
      <c r="K103" s="156"/>
      <c r="L103" s="90">
        <f t="shared" si="10"/>
        <v>54.909286142089478</v>
      </c>
    </row>
    <row r="104" spans="1:12" ht="25.5" x14ac:dyDescent="0.25">
      <c r="A104" s="32"/>
      <c r="B104" s="6"/>
      <c r="C104" s="19"/>
      <c r="D104" s="7"/>
      <c r="E104" s="7">
        <v>3661</v>
      </c>
      <c r="F104" s="9" t="s">
        <v>163</v>
      </c>
      <c r="G104" s="33">
        <f>62577.14/7.5345</f>
        <v>8305.4137633552327</v>
      </c>
      <c r="H104" s="33">
        <v>8790.19</v>
      </c>
      <c r="I104" s="33">
        <v>8790.19</v>
      </c>
      <c r="J104" s="35">
        <v>11139.84</v>
      </c>
      <c r="K104" s="90"/>
      <c r="L104" s="90">
        <f t="shared" si="10"/>
        <v>126.73036646534375</v>
      </c>
    </row>
    <row r="105" spans="1:12" x14ac:dyDescent="0.25">
      <c r="A105" s="32"/>
      <c r="B105" s="6"/>
      <c r="C105" s="19"/>
      <c r="D105" s="7"/>
      <c r="E105" s="7">
        <v>3681</v>
      </c>
      <c r="F105" s="7" t="s">
        <v>125</v>
      </c>
      <c r="G105" s="33">
        <f>354603.79/7.5345</f>
        <v>47064.010883270283</v>
      </c>
      <c r="H105" s="33">
        <v>49811.08</v>
      </c>
      <c r="I105" s="33">
        <v>49811.08</v>
      </c>
      <c r="J105" s="35">
        <v>63125.72</v>
      </c>
      <c r="K105" s="90"/>
      <c r="L105" s="90">
        <f t="shared" si="10"/>
        <v>126.7302776811906</v>
      </c>
    </row>
    <row r="106" spans="1:12" ht="25.5" x14ac:dyDescent="0.25">
      <c r="A106" s="32"/>
      <c r="B106" s="6"/>
      <c r="C106" s="19"/>
      <c r="D106" s="7"/>
      <c r="E106" s="7">
        <v>3691</v>
      </c>
      <c r="F106" s="9" t="s">
        <v>156</v>
      </c>
      <c r="G106" s="33">
        <f>246285.51/7.5345</f>
        <v>32687.704559028469</v>
      </c>
      <c r="H106" s="33">
        <f>116882.67-8790.19</f>
        <v>108092.48</v>
      </c>
      <c r="I106" s="33">
        <v>76154.47</v>
      </c>
      <c r="J106" s="35">
        <v>35502.65</v>
      </c>
      <c r="K106" s="90"/>
      <c r="L106" s="90">
        <f t="shared" si="10"/>
        <v>46.619259512934697</v>
      </c>
    </row>
    <row r="107" spans="1:12" ht="25.5" x14ac:dyDescent="0.25">
      <c r="A107" s="32"/>
      <c r="B107" s="6"/>
      <c r="C107" s="19"/>
      <c r="D107" s="7"/>
      <c r="E107" s="7">
        <v>3693</v>
      </c>
      <c r="F107" s="9" t="s">
        <v>157</v>
      </c>
      <c r="G107" s="33">
        <f>1395617.9/7.5345</f>
        <v>185230.32716172273</v>
      </c>
      <c r="H107" s="33">
        <f>662335.15-49811.08</f>
        <v>612524.07000000007</v>
      </c>
      <c r="I107" s="33">
        <v>431541.97</v>
      </c>
      <c r="J107" s="35">
        <v>201181.82</v>
      </c>
      <c r="K107" s="90"/>
      <c r="L107" s="90">
        <f t="shared" si="10"/>
        <v>46.619294063101215</v>
      </c>
    </row>
    <row r="108" spans="1:12" x14ac:dyDescent="0.25">
      <c r="A108" s="32"/>
      <c r="B108" s="48"/>
      <c r="C108" s="50">
        <v>37</v>
      </c>
      <c r="D108" s="49"/>
      <c r="E108" s="49"/>
      <c r="F108" s="49" t="s">
        <v>110</v>
      </c>
      <c r="G108" s="60">
        <f>G109</f>
        <v>0</v>
      </c>
      <c r="H108" s="172">
        <v>270</v>
      </c>
      <c r="I108" s="71"/>
      <c r="J108" s="67">
        <v>270</v>
      </c>
      <c r="K108" s="87" t="str">
        <f t="shared" ref="K108:K113" si="11">IFERROR(J108/G108*100,"")</f>
        <v/>
      </c>
      <c r="L108" s="90" t="str">
        <f t="shared" si="10"/>
        <v/>
      </c>
    </row>
    <row r="109" spans="1:12" x14ac:dyDescent="0.25">
      <c r="A109" s="32"/>
      <c r="B109" s="42"/>
      <c r="C109" s="43"/>
      <c r="D109" s="44">
        <v>372</v>
      </c>
      <c r="E109" s="44"/>
      <c r="F109" s="44" t="s">
        <v>111</v>
      </c>
      <c r="G109" s="63">
        <f>SUM(G110:G110)</f>
        <v>0</v>
      </c>
      <c r="H109" s="63">
        <v>270</v>
      </c>
      <c r="I109" s="63"/>
      <c r="J109" s="64">
        <v>270</v>
      </c>
      <c r="K109" s="88" t="str">
        <f t="shared" si="11"/>
        <v/>
      </c>
      <c r="L109" s="90" t="str">
        <f t="shared" si="10"/>
        <v/>
      </c>
    </row>
    <row r="110" spans="1:12" x14ac:dyDescent="0.25">
      <c r="A110" s="32"/>
      <c r="B110" s="6"/>
      <c r="C110" s="19"/>
      <c r="D110" s="7"/>
      <c r="E110" s="7">
        <v>3721</v>
      </c>
      <c r="F110" s="7" t="s">
        <v>138</v>
      </c>
      <c r="G110" s="33">
        <v>0</v>
      </c>
      <c r="H110" s="33">
        <v>270</v>
      </c>
      <c r="I110" s="33"/>
      <c r="J110" s="35">
        <v>270</v>
      </c>
      <c r="K110" s="90" t="str">
        <f t="shared" si="11"/>
        <v/>
      </c>
      <c r="L110" s="90" t="str">
        <f t="shared" si="10"/>
        <v/>
      </c>
    </row>
    <row r="111" spans="1:12" x14ac:dyDescent="0.25">
      <c r="A111" s="32"/>
      <c r="B111" s="6"/>
      <c r="C111" s="19"/>
      <c r="D111" s="7"/>
      <c r="E111" s="7">
        <v>3722</v>
      </c>
      <c r="F111" s="7" t="s">
        <v>112</v>
      </c>
      <c r="G111" s="33">
        <v>0</v>
      </c>
      <c r="H111" s="33"/>
      <c r="I111" s="33"/>
      <c r="J111" s="35"/>
      <c r="K111" s="90" t="str">
        <f t="shared" si="11"/>
        <v/>
      </c>
      <c r="L111" s="90" t="str">
        <f t="shared" si="10"/>
        <v/>
      </c>
    </row>
    <row r="112" spans="1:12" x14ac:dyDescent="0.25">
      <c r="A112" s="32"/>
      <c r="B112" s="48"/>
      <c r="C112" s="50">
        <v>38</v>
      </c>
      <c r="D112" s="49"/>
      <c r="E112" s="49"/>
      <c r="F112" s="49" t="s">
        <v>113</v>
      </c>
      <c r="G112" s="71">
        <f>G113</f>
        <v>79056.606277788844</v>
      </c>
      <c r="H112" s="71">
        <f>H113</f>
        <v>107709.02</v>
      </c>
      <c r="I112" s="71">
        <f>I113</f>
        <v>55381.91</v>
      </c>
      <c r="J112" s="67">
        <f>J113</f>
        <v>88113.69</v>
      </c>
      <c r="K112" s="87">
        <f t="shared" si="11"/>
        <v>111.45645398739532</v>
      </c>
      <c r="L112" s="90">
        <f t="shared" si="10"/>
        <v>159.10193418753525</v>
      </c>
    </row>
    <row r="113" spans="1:12" x14ac:dyDescent="0.25">
      <c r="A113" s="32"/>
      <c r="B113" s="42"/>
      <c r="C113" s="43"/>
      <c r="D113" s="44">
        <v>381</v>
      </c>
      <c r="E113" s="44"/>
      <c r="F113" s="44" t="s">
        <v>46</v>
      </c>
      <c r="G113" s="63">
        <f>SUM(G114:G116)</f>
        <v>79056.606277788844</v>
      </c>
      <c r="H113" s="63">
        <f>SUM(H114:H116)</f>
        <v>107709.02</v>
      </c>
      <c r="I113" s="63">
        <f>SUM(I114:I116)</f>
        <v>55381.91</v>
      </c>
      <c r="J113" s="64">
        <f>SUM(J114:J116)</f>
        <v>88113.69</v>
      </c>
      <c r="K113" s="88">
        <f t="shared" si="11"/>
        <v>111.45645398739532</v>
      </c>
      <c r="L113" s="90">
        <f t="shared" si="10"/>
        <v>159.10193418753525</v>
      </c>
    </row>
    <row r="114" spans="1:12" x14ac:dyDescent="0.25">
      <c r="A114" s="32"/>
      <c r="B114" s="42"/>
      <c r="C114" s="43"/>
      <c r="D114" s="44"/>
      <c r="E114" s="44">
        <v>3811</v>
      </c>
      <c r="F114" s="7" t="s">
        <v>164</v>
      </c>
      <c r="G114" s="63">
        <f>89347.81/7.5345</f>
        <v>11858.492268896409</v>
      </c>
      <c r="H114" s="63">
        <v>16152.34</v>
      </c>
      <c r="I114" s="63">
        <v>8307.2900000000009</v>
      </c>
      <c r="J114" s="64">
        <v>13213.04</v>
      </c>
      <c r="K114" s="88"/>
      <c r="L114" s="90">
        <f t="shared" si="10"/>
        <v>159.05355416748421</v>
      </c>
    </row>
    <row r="115" spans="1:12" x14ac:dyDescent="0.25">
      <c r="A115" s="32"/>
      <c r="B115" s="6"/>
      <c r="C115" s="19"/>
      <c r="D115" s="7"/>
      <c r="E115" s="7">
        <v>3812</v>
      </c>
      <c r="F115" s="7" t="s">
        <v>114</v>
      </c>
      <c r="G115" s="33">
        <v>0</v>
      </c>
      <c r="H115" s="33">
        <v>26.76</v>
      </c>
      <c r="I115" s="33"/>
      <c r="J115" s="35">
        <v>26.76</v>
      </c>
      <c r="K115" s="90" t="str">
        <f>IFERROR(J115/G115*100,"")</f>
        <v/>
      </c>
      <c r="L115" s="90" t="str">
        <f t="shared" si="10"/>
        <v/>
      </c>
    </row>
    <row r="116" spans="1:12" x14ac:dyDescent="0.25">
      <c r="A116" s="32"/>
      <c r="B116" s="6"/>
      <c r="C116" s="19"/>
      <c r="D116" s="7"/>
      <c r="E116" s="7">
        <v>3813</v>
      </c>
      <c r="F116" s="7" t="s">
        <v>165</v>
      </c>
      <c r="G116" s="33">
        <f>506304.19/7.5345</f>
        <v>67198.114008892429</v>
      </c>
      <c r="H116" s="33">
        <v>91529.919999999998</v>
      </c>
      <c r="I116" s="33">
        <v>47074.62</v>
      </c>
      <c r="J116" s="35">
        <v>74873.89</v>
      </c>
      <c r="K116" s="90"/>
      <c r="L116" s="90">
        <f t="shared" si="10"/>
        <v>159.05362592411791</v>
      </c>
    </row>
    <row r="117" spans="1:12" x14ac:dyDescent="0.25">
      <c r="A117" s="32"/>
      <c r="B117" s="114"/>
      <c r="C117" s="115"/>
      <c r="D117" s="116">
        <v>383</v>
      </c>
      <c r="E117" s="116"/>
      <c r="F117" s="116" t="s">
        <v>139</v>
      </c>
      <c r="G117" s="118"/>
      <c r="H117" s="118"/>
      <c r="I117" s="118"/>
      <c r="J117" s="119"/>
      <c r="K117" s="120" t="str">
        <f>IFERROR(J117/G117*100,"")</f>
        <v/>
      </c>
      <c r="L117" s="90" t="str">
        <f t="shared" si="10"/>
        <v/>
      </c>
    </row>
    <row r="118" spans="1:12" x14ac:dyDescent="0.25">
      <c r="A118" s="32"/>
      <c r="B118" s="6"/>
      <c r="C118" s="19"/>
      <c r="D118" s="7"/>
      <c r="E118" s="7">
        <v>3831</v>
      </c>
      <c r="F118" s="7" t="s">
        <v>140</v>
      </c>
      <c r="G118" s="33"/>
      <c r="H118" s="33"/>
      <c r="I118" s="33"/>
      <c r="J118" s="35"/>
      <c r="K118" s="90"/>
      <c r="L118" s="90" t="str">
        <f t="shared" si="10"/>
        <v/>
      </c>
    </row>
    <row r="119" spans="1:12" x14ac:dyDescent="0.25">
      <c r="A119" s="32"/>
      <c r="B119" s="53">
        <v>4</v>
      </c>
      <c r="C119" s="53"/>
      <c r="D119" s="53"/>
      <c r="E119" s="53"/>
      <c r="F119" s="54" t="s">
        <v>5</v>
      </c>
      <c r="G119" s="72">
        <f>G120</f>
        <v>1678.1219722609328</v>
      </c>
      <c r="H119" s="72">
        <f>H120+H130</f>
        <v>5646157.2199999997</v>
      </c>
      <c r="I119" s="72">
        <f>I120+I130</f>
        <v>5815183.4900000002</v>
      </c>
      <c r="J119" s="58">
        <f>J120+J130</f>
        <v>2894500.2899999996</v>
      </c>
      <c r="K119" s="93">
        <f>IFERROR(J119/G119*100,"")</f>
        <v>172484.49980666427</v>
      </c>
      <c r="L119" s="93">
        <f t="shared" si="10"/>
        <v>49.774874601592309</v>
      </c>
    </row>
    <row r="120" spans="1:12" x14ac:dyDescent="0.25">
      <c r="A120" s="32"/>
      <c r="B120" s="47"/>
      <c r="C120" s="46">
        <v>42</v>
      </c>
      <c r="D120" s="47"/>
      <c r="E120" s="47"/>
      <c r="F120" s="51" t="s">
        <v>70</v>
      </c>
      <c r="G120" s="71">
        <f>G121+G128</f>
        <v>1678.1219722609328</v>
      </c>
      <c r="H120" s="65">
        <f>H121+H128</f>
        <v>2146420.2199999997</v>
      </c>
      <c r="I120" s="71">
        <f>I121+I126+I128</f>
        <v>2070741.26</v>
      </c>
      <c r="J120" s="67">
        <f>J121+J128+J126</f>
        <v>2203661.6199999996</v>
      </c>
      <c r="K120" s="94">
        <f>IFERROR(J120/G120*100,"")</f>
        <v>131317.13048432395</v>
      </c>
      <c r="L120" s="94">
        <f t="shared" si="10"/>
        <v>106.41897481677647</v>
      </c>
    </row>
    <row r="121" spans="1:12" x14ac:dyDescent="0.25">
      <c r="A121" s="32"/>
      <c r="B121" s="45"/>
      <c r="C121" s="45"/>
      <c r="D121" s="42">
        <v>422</v>
      </c>
      <c r="E121" s="42"/>
      <c r="F121" s="42" t="s">
        <v>71</v>
      </c>
      <c r="G121" s="63">
        <f>G122</f>
        <v>495.55378591811001</v>
      </c>
      <c r="H121" s="66">
        <f>SUM(H122:H125)</f>
        <v>2146012.94</v>
      </c>
      <c r="I121" s="63">
        <f>I122+I123+I124+I125</f>
        <v>2070741.26</v>
      </c>
      <c r="J121" s="64">
        <f>SUM(J122:J125)</f>
        <v>2147400.5499999998</v>
      </c>
      <c r="K121" s="88">
        <f>IFERROR(J121/G121*100,"")</f>
        <v>433333.49699296948</v>
      </c>
      <c r="L121" s="88">
        <f t="shared" si="10"/>
        <v>103.70202166155707</v>
      </c>
    </row>
    <row r="122" spans="1:12" x14ac:dyDescent="0.25">
      <c r="A122" s="32"/>
      <c r="B122" s="8"/>
      <c r="C122" s="8"/>
      <c r="D122" s="6"/>
      <c r="E122" s="6">
        <v>4221</v>
      </c>
      <c r="F122" s="6" t="s">
        <v>69</v>
      </c>
      <c r="G122" s="33">
        <f>3733.75/7.5345</f>
        <v>495.55378591811001</v>
      </c>
      <c r="H122" s="34">
        <f>310623.82</f>
        <v>310623.82</v>
      </c>
      <c r="I122" s="33">
        <v>310611.19</v>
      </c>
      <c r="J122" s="35">
        <v>596767.46</v>
      </c>
      <c r="K122" s="90">
        <f>IFERROR(J122/G122*100,"")</f>
        <v>120424.35694328758</v>
      </c>
      <c r="L122" s="90">
        <f t="shared" si="10"/>
        <v>192.12683870146466</v>
      </c>
    </row>
    <row r="123" spans="1:12" x14ac:dyDescent="0.25">
      <c r="A123" s="32"/>
      <c r="B123" s="8"/>
      <c r="C123" s="8"/>
      <c r="D123" s="6"/>
      <c r="E123" s="6">
        <v>4222</v>
      </c>
      <c r="F123" s="6" t="s">
        <v>143</v>
      </c>
      <c r="G123" s="33"/>
      <c r="H123" s="34"/>
      <c r="I123" s="33"/>
      <c r="J123" s="35">
        <v>0</v>
      </c>
      <c r="K123" s="90"/>
      <c r="L123" s="90" t="str">
        <f t="shared" si="10"/>
        <v/>
      </c>
    </row>
    <row r="124" spans="1:12" x14ac:dyDescent="0.25">
      <c r="A124" s="32"/>
      <c r="B124" s="8"/>
      <c r="C124" s="8"/>
      <c r="D124" s="6"/>
      <c r="E124" s="6">
        <v>4223</v>
      </c>
      <c r="F124" s="6" t="s">
        <v>144</v>
      </c>
      <c r="G124" s="33"/>
      <c r="H124" s="34"/>
      <c r="I124" s="33"/>
      <c r="J124" s="35">
        <v>600</v>
      </c>
      <c r="K124" s="90"/>
      <c r="L124" s="90" t="str">
        <f t="shared" si="10"/>
        <v/>
      </c>
    </row>
    <row r="125" spans="1:12" x14ac:dyDescent="0.25">
      <c r="A125" s="32"/>
      <c r="B125" s="8"/>
      <c r="C125" s="8"/>
      <c r="D125" s="6"/>
      <c r="E125" s="6">
        <v>4227</v>
      </c>
      <c r="F125" s="6" t="s">
        <v>166</v>
      </c>
      <c r="G125" s="33"/>
      <c r="H125" s="34">
        <f>73000+1760201.62+2187.5</f>
        <v>1835389.12</v>
      </c>
      <c r="I125" s="33">
        <v>1760130.07</v>
      </c>
      <c r="J125" s="35">
        <v>1550033.09</v>
      </c>
      <c r="K125" s="90"/>
      <c r="L125" s="90">
        <f t="shared" si="10"/>
        <v>88.063553734980502</v>
      </c>
    </row>
    <row r="126" spans="1:12" x14ac:dyDescent="0.25">
      <c r="A126" s="32"/>
      <c r="B126" s="117"/>
      <c r="C126" s="117"/>
      <c r="D126" s="114">
        <v>423</v>
      </c>
      <c r="E126" s="114"/>
      <c r="F126" s="114" t="s">
        <v>168</v>
      </c>
      <c r="G126" s="118"/>
      <c r="H126" s="158"/>
      <c r="I126" s="118"/>
      <c r="J126" s="119">
        <f>SUM(J127)</f>
        <v>55003.48</v>
      </c>
      <c r="K126" s="120"/>
      <c r="L126" s="90" t="str">
        <f t="shared" si="10"/>
        <v/>
      </c>
    </row>
    <row r="127" spans="1:12" x14ac:dyDescent="0.25">
      <c r="A127" s="32"/>
      <c r="B127" s="8"/>
      <c r="C127" s="8"/>
      <c r="D127" s="6"/>
      <c r="E127" s="6">
        <v>4231</v>
      </c>
      <c r="F127" s="6" t="s">
        <v>167</v>
      </c>
      <c r="G127" s="33"/>
      <c r="H127" s="34"/>
      <c r="I127" s="33"/>
      <c r="J127" s="35">
        <v>55003.48</v>
      </c>
      <c r="K127" s="90"/>
      <c r="L127" s="90" t="str">
        <f t="shared" si="10"/>
        <v/>
      </c>
    </row>
    <row r="128" spans="1:12" x14ac:dyDescent="0.25">
      <c r="A128" s="32"/>
      <c r="B128" s="45"/>
      <c r="C128" s="45"/>
      <c r="D128" s="42">
        <v>424</v>
      </c>
      <c r="E128" s="42"/>
      <c r="F128" s="42" t="s">
        <v>72</v>
      </c>
      <c r="G128" s="63">
        <f>SUM(G129:G129)</f>
        <v>1182.5681863428229</v>
      </c>
      <c r="H128" s="66">
        <f>SUM(H129)</f>
        <v>407.28</v>
      </c>
      <c r="I128" s="63"/>
      <c r="J128" s="64">
        <f>SUM(J129:J129)</f>
        <v>1257.5899999999999</v>
      </c>
      <c r="K128" s="88">
        <f>IFERROR(J128/G128*100,"")</f>
        <v>106.34397360960533</v>
      </c>
      <c r="L128" s="90" t="str">
        <f t="shared" si="10"/>
        <v/>
      </c>
    </row>
    <row r="129" spans="1:12" x14ac:dyDescent="0.25">
      <c r="A129" s="32"/>
      <c r="B129" s="8"/>
      <c r="C129" s="8"/>
      <c r="D129" s="6"/>
      <c r="E129" s="6">
        <v>4241</v>
      </c>
      <c r="F129" s="6" t="s">
        <v>68</v>
      </c>
      <c r="G129" s="33">
        <f>8910.06/7.5345</f>
        <v>1182.5681863428229</v>
      </c>
      <c r="H129" s="34">
        <f>407.28</f>
        <v>407.28</v>
      </c>
      <c r="I129" s="33"/>
      <c r="J129" s="35">
        <v>1257.5899999999999</v>
      </c>
      <c r="K129" s="90">
        <f>IFERROR(J129/G129*100,"")</f>
        <v>106.34397360960533</v>
      </c>
      <c r="L129" s="90" t="str">
        <f t="shared" si="10"/>
        <v/>
      </c>
    </row>
    <row r="130" spans="1:12" ht="25.5" x14ac:dyDescent="0.25">
      <c r="B130" s="47"/>
      <c r="C130" s="46">
        <v>45</v>
      </c>
      <c r="D130" s="47"/>
      <c r="E130" s="47"/>
      <c r="F130" s="51" t="s">
        <v>169</v>
      </c>
      <c r="G130" s="71">
        <f>G131+G137</f>
        <v>0</v>
      </c>
      <c r="H130" s="65">
        <f>H131</f>
        <v>3499737</v>
      </c>
      <c r="I130" s="71">
        <f>I131</f>
        <v>3744442.23</v>
      </c>
      <c r="J130" s="67">
        <f>J131+J137+J135</f>
        <v>690838.67</v>
      </c>
      <c r="K130" s="94" t="str">
        <f>IFERROR(J130/G130*100,"")</f>
        <v/>
      </c>
      <c r="L130" s="94">
        <f t="shared" si="10"/>
        <v>18.449708329456588</v>
      </c>
    </row>
    <row r="131" spans="1:12" x14ac:dyDescent="0.25">
      <c r="B131" s="45"/>
      <c r="C131" s="45"/>
      <c r="D131" s="42">
        <v>451</v>
      </c>
      <c r="E131" s="42"/>
      <c r="F131" s="42" t="s">
        <v>170</v>
      </c>
      <c r="G131" s="63"/>
      <c r="H131" s="66">
        <f>SUM(H132)</f>
        <v>3499737</v>
      </c>
      <c r="I131" s="63">
        <f>I132</f>
        <v>3744442.23</v>
      </c>
      <c r="J131" s="64">
        <f>SUM(J132)</f>
        <v>690838.67</v>
      </c>
      <c r="K131" s="88" t="str">
        <f>IFERROR(J131/G131*100,"")</f>
        <v/>
      </c>
      <c r="L131" s="88">
        <f t="shared" si="10"/>
        <v>18.449708329456588</v>
      </c>
    </row>
    <row r="132" spans="1:12" x14ac:dyDescent="0.25">
      <c r="B132" s="8"/>
      <c r="C132" s="8"/>
      <c r="D132" s="6"/>
      <c r="E132" s="6">
        <v>4511</v>
      </c>
      <c r="F132" s="42" t="s">
        <v>170</v>
      </c>
      <c r="G132" s="33"/>
      <c r="H132" s="34">
        <f>2539026.55+960710.45</f>
        <v>3499737</v>
      </c>
      <c r="I132" s="33">
        <v>3744442.23</v>
      </c>
      <c r="J132" s="35">
        <v>690838.67</v>
      </c>
      <c r="K132" s="90" t="str">
        <f>IFERROR(J132/G132*100,"")</f>
        <v/>
      </c>
      <c r="L132" s="90">
        <f t="shared" si="10"/>
        <v>18.449708329456588</v>
      </c>
    </row>
    <row r="134" spans="1:12" ht="14.25" customHeight="1" x14ac:dyDescent="0.25"/>
    <row r="140" spans="1:12" x14ac:dyDescent="0.25">
      <c r="H140" s="108"/>
      <c r="I140" s="108"/>
      <c r="J140" s="108"/>
    </row>
    <row r="148" spans="8:8" x14ac:dyDescent="0.25">
      <c r="H148" s="108"/>
    </row>
  </sheetData>
  <mergeCells count="7">
    <mergeCell ref="B4:L4"/>
    <mergeCell ref="B2:L2"/>
    <mergeCell ref="B48:F48"/>
    <mergeCell ref="B49:F49"/>
    <mergeCell ref="B8:F8"/>
    <mergeCell ref="B9:F9"/>
    <mergeCell ref="B6:L6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L26"/>
  <sheetViews>
    <sheetView workbookViewId="0">
      <selection activeCell="D30" sqref="D30"/>
    </sheetView>
  </sheetViews>
  <sheetFormatPr defaultRowHeight="15" x14ac:dyDescent="0.25"/>
  <cols>
    <col min="2" max="2" width="37.7109375" customWidth="1"/>
    <col min="3" max="6" width="25.28515625" customWidth="1"/>
    <col min="7" max="8" width="15.7109375" customWidth="1"/>
  </cols>
  <sheetData>
    <row r="1" spans="2:12" ht="18" x14ac:dyDescent="0.25">
      <c r="B1" s="2"/>
      <c r="C1" s="169"/>
      <c r="D1" s="2"/>
      <c r="E1" s="2"/>
      <c r="F1" s="170"/>
      <c r="G1" s="3"/>
      <c r="H1" s="3"/>
    </row>
    <row r="2" spans="2:12" ht="15.75" customHeight="1" x14ac:dyDescent="0.25">
      <c r="B2" s="194" t="s">
        <v>21</v>
      </c>
      <c r="C2" s="194"/>
      <c r="D2" s="194"/>
      <c r="E2" s="194"/>
      <c r="F2" s="194"/>
      <c r="G2" s="194"/>
      <c r="H2" s="194"/>
    </row>
    <row r="3" spans="2:12" ht="17.45" x14ac:dyDescent="0.3">
      <c r="B3" s="2"/>
      <c r="C3" s="2"/>
      <c r="D3" s="2"/>
      <c r="E3" s="2"/>
      <c r="F3" s="3"/>
      <c r="G3" s="3"/>
      <c r="H3" s="3"/>
    </row>
    <row r="4" spans="2:12" ht="31.5" customHeight="1" x14ac:dyDescent="0.25">
      <c r="B4" s="30" t="s">
        <v>6</v>
      </c>
      <c r="C4" s="30" t="s">
        <v>120</v>
      </c>
      <c r="D4" s="30" t="s">
        <v>25</v>
      </c>
      <c r="E4" s="30" t="s">
        <v>22</v>
      </c>
      <c r="F4" s="30" t="s">
        <v>121</v>
      </c>
      <c r="G4" s="30" t="s">
        <v>10</v>
      </c>
      <c r="H4" s="30" t="s">
        <v>23</v>
      </c>
    </row>
    <row r="5" spans="2:12" s="23" customFormat="1" ht="10.15" x14ac:dyDescent="0.2">
      <c r="B5" s="31">
        <v>1</v>
      </c>
      <c r="C5" s="31">
        <v>2</v>
      </c>
      <c r="D5" s="31">
        <v>3</v>
      </c>
      <c r="E5" s="31">
        <v>4</v>
      </c>
      <c r="F5" s="31">
        <v>5</v>
      </c>
      <c r="G5" s="31" t="s">
        <v>12</v>
      </c>
      <c r="H5" s="31" t="s">
        <v>13</v>
      </c>
    </row>
    <row r="6" spans="2:12" ht="15.75" customHeight="1" x14ac:dyDescent="0.25">
      <c r="B6" s="55" t="s">
        <v>7</v>
      </c>
      <c r="C6" s="73">
        <f>C7+C17</f>
        <v>3491988.49</v>
      </c>
      <c r="D6" s="102">
        <f>D7+D17</f>
        <v>11844340.57</v>
      </c>
      <c r="E6" s="102">
        <f>E7+E17</f>
        <v>10403535.370000001</v>
      </c>
      <c r="F6" s="57">
        <f>F7+F17</f>
        <v>7515063.9700000007</v>
      </c>
      <c r="G6" s="92">
        <f>IFERROR(F6/C6*100,"")</f>
        <v>215.20872681914253</v>
      </c>
      <c r="H6" s="92">
        <f>IFERROR(F6/D6*100,"")</f>
        <v>63.44856368816825</v>
      </c>
      <c r="L6" s="32"/>
    </row>
    <row r="7" spans="2:12" ht="15.75" customHeight="1" x14ac:dyDescent="0.25">
      <c r="B7" s="75" t="s">
        <v>73</v>
      </c>
      <c r="C7" s="36">
        <f>SUM(C8:C16)</f>
        <v>2118113.0155195571</v>
      </c>
      <c r="D7" s="36">
        <f>SUM(D8:D16)</f>
        <v>2482585.1399999997</v>
      </c>
      <c r="E7" s="36">
        <f>SUM(E8:E16)</f>
        <v>2357270.6399999997</v>
      </c>
      <c r="F7" s="103">
        <f>SUM(F8:F16)</f>
        <v>2427533.1300000004</v>
      </c>
      <c r="G7" s="104">
        <f t="shared" ref="G7:G26" si="0">IFERROR(F7/C7*100,"")</f>
        <v>114.60829106914036</v>
      </c>
      <c r="H7" s="104">
        <f t="shared" ref="H7:H25" si="1">IFERROR(F7/D7*100,"")</f>
        <v>97.782472427108814</v>
      </c>
    </row>
    <row r="8" spans="2:12" ht="14.45" x14ac:dyDescent="0.3">
      <c r="B8" s="9" t="s">
        <v>76</v>
      </c>
      <c r="C8" s="33">
        <f>(190335.27+31405.34+6311.27+11025644.67+470370.52+1819973.06)/7.5345</f>
        <v>1797603.043333997</v>
      </c>
      <c r="D8" s="33">
        <f>38542.97+2107441.92</f>
        <v>2145984.89</v>
      </c>
      <c r="E8" s="33">
        <v>2107441.92</v>
      </c>
      <c r="F8" s="35">
        <f>28691.22+2099184.26</f>
        <v>2127875.48</v>
      </c>
      <c r="G8" s="90">
        <f t="shared" si="0"/>
        <v>118.37293488630559</v>
      </c>
      <c r="H8" s="90">
        <f t="shared" si="1"/>
        <v>99.156125931529743</v>
      </c>
    </row>
    <row r="9" spans="2:12" ht="14.45" x14ac:dyDescent="0.3">
      <c r="B9" s="26" t="s">
        <v>74</v>
      </c>
      <c r="C9" s="33">
        <f>(18875.87+35049.55+69014.71+1501.99+19673.69+7539.0013621+489+97333.4+60095.36+45190)/7.5345+1996407.63/7.5345</f>
        <v>312053.91218555975</v>
      </c>
      <c r="D9" s="33">
        <f>21169.29+35580.55+245847.03+19660.02+9679.39+275</f>
        <v>332211.28000000003</v>
      </c>
      <c r="E9" s="33">
        <v>245847.03</v>
      </c>
      <c r="F9" s="35">
        <f>572.11+35575.39+245847.03+2932.4+10054.84+261.85</f>
        <v>295243.62000000005</v>
      </c>
      <c r="G9" s="90">
        <f t="shared" si="0"/>
        <v>94.613016684256905</v>
      </c>
      <c r="H9" s="90">
        <f t="shared" si="1"/>
        <v>88.872244193514447</v>
      </c>
    </row>
    <row r="10" spans="2:12" ht="14.45" x14ac:dyDescent="0.3">
      <c r="B10" s="26" t="s">
        <v>75</v>
      </c>
      <c r="C10" s="33">
        <v>6777.94</v>
      </c>
      <c r="D10" s="33">
        <f>1327.23+2654.46</f>
        <v>3981.69</v>
      </c>
      <c r="E10" s="33">
        <v>3981.69</v>
      </c>
      <c r="F10" s="35">
        <f>303.78+1327.23+1530.59</f>
        <v>3161.6</v>
      </c>
      <c r="G10" s="90">
        <f t="shared" si="0"/>
        <v>46.645440945183935</v>
      </c>
      <c r="H10" s="90">
        <f t="shared" si="1"/>
        <v>79.403469381091938</v>
      </c>
    </row>
    <row r="11" spans="2:12" x14ac:dyDescent="0.25">
      <c r="B11" s="26" t="s">
        <v>172</v>
      </c>
      <c r="C11" s="33"/>
      <c r="D11" s="33"/>
      <c r="E11" s="33"/>
      <c r="F11" s="35"/>
      <c r="G11" s="90" t="str">
        <f t="shared" si="0"/>
        <v/>
      </c>
      <c r="H11" s="90" t="str">
        <f t="shared" si="1"/>
        <v/>
      </c>
    </row>
    <row r="12" spans="2:12" ht="25.5" x14ac:dyDescent="0.25">
      <c r="B12" s="171" t="s">
        <v>173</v>
      </c>
      <c r="C12" s="33"/>
      <c r="D12" s="33"/>
      <c r="E12" s="33"/>
      <c r="F12" s="35"/>
      <c r="G12" s="90" t="str">
        <f t="shared" si="0"/>
        <v/>
      </c>
      <c r="H12" s="90" t="str">
        <f t="shared" si="1"/>
        <v/>
      </c>
    </row>
    <row r="13" spans="2:12" x14ac:dyDescent="0.25">
      <c r="B13" s="26" t="s">
        <v>79</v>
      </c>
      <c r="C13" s="33"/>
      <c r="D13" s="33"/>
      <c r="E13" s="33"/>
      <c r="F13" s="35"/>
      <c r="G13" s="90" t="str">
        <f t="shared" si="0"/>
        <v/>
      </c>
      <c r="H13" s="90" t="str">
        <f t="shared" si="1"/>
        <v/>
      </c>
    </row>
    <row r="14" spans="2:12" x14ac:dyDescent="0.25">
      <c r="B14" s="26" t="s">
        <v>80</v>
      </c>
      <c r="C14" s="33"/>
      <c r="D14" s="33"/>
      <c r="E14" s="33"/>
      <c r="F14" s="35"/>
      <c r="G14" s="90" t="str">
        <f t="shared" si="0"/>
        <v/>
      </c>
      <c r="H14" s="90" t="str">
        <f t="shared" si="1"/>
        <v/>
      </c>
    </row>
    <row r="15" spans="2:12" ht="14.45" x14ac:dyDescent="0.3">
      <c r="B15" s="26" t="s">
        <v>77</v>
      </c>
      <c r="C15" s="33">
        <v>1678.12</v>
      </c>
      <c r="D15" s="33">
        <v>407.28</v>
      </c>
      <c r="E15" s="33"/>
      <c r="F15" s="35">
        <f>1252.43</f>
        <v>1252.43</v>
      </c>
      <c r="G15" s="90">
        <f t="shared" si="0"/>
        <v>74.632922556193847</v>
      </c>
      <c r="H15" s="90">
        <f t="shared" si="1"/>
        <v>307.51080337851113</v>
      </c>
    </row>
    <row r="16" spans="2:12" x14ac:dyDescent="0.25">
      <c r="B16" s="26" t="s">
        <v>174</v>
      </c>
      <c r="C16" s="33"/>
      <c r="D16" s="33"/>
      <c r="E16" s="33"/>
      <c r="F16" s="35"/>
      <c r="G16" s="90" t="str">
        <f t="shared" si="0"/>
        <v/>
      </c>
      <c r="H16" s="90" t="str">
        <f t="shared" si="1"/>
        <v/>
      </c>
    </row>
    <row r="17" spans="2:8" x14ac:dyDescent="0.25">
      <c r="B17" s="75" t="s">
        <v>78</v>
      </c>
      <c r="C17" s="105">
        <f>SUM(C18:C26)</f>
        <v>1373875.4744804434</v>
      </c>
      <c r="D17" s="36">
        <f>SUM(D18:D26)</f>
        <v>9361755.4299999997</v>
      </c>
      <c r="E17" s="38">
        <f>SUM(E18:E26)</f>
        <v>8046264.7300000004</v>
      </c>
      <c r="F17" s="103">
        <f>SUM(F18:F26)</f>
        <v>5087530.84</v>
      </c>
      <c r="G17" s="189">
        <f t="shared" si="0"/>
        <v>370.30509201890692</v>
      </c>
      <c r="H17" s="104">
        <f t="shared" si="1"/>
        <v>54.343770012372559</v>
      </c>
    </row>
    <row r="18" spans="2:8" x14ac:dyDescent="0.25">
      <c r="B18" s="25" t="s">
        <v>76</v>
      </c>
      <c r="C18" s="33">
        <f>2115002.95-C8</f>
        <v>317399.90666600317</v>
      </c>
      <c r="D18" s="33">
        <f>2688574.79-D8</f>
        <v>542589.89999999991</v>
      </c>
      <c r="E18" s="34">
        <f>2420370.52-2107441.92</f>
        <v>312928.60000000009</v>
      </c>
      <c r="F18" s="35">
        <f>2515708.97-F8</f>
        <v>387833.49000000022</v>
      </c>
      <c r="G18" s="90">
        <f t="shared" si="0"/>
        <v>122.19080152664117</v>
      </c>
      <c r="H18" s="90">
        <f t="shared" ref="H18" si="2">IFERROR(F18/D18*100,"")</f>
        <v>71.478199280893421</v>
      </c>
    </row>
    <row r="19" spans="2:8" x14ac:dyDescent="0.25">
      <c r="B19" s="25" t="s">
        <v>74</v>
      </c>
      <c r="C19" s="33">
        <f>981890.71-C9</f>
        <v>669836.79781444022</v>
      </c>
      <c r="D19" s="33">
        <f>2575739.62-D9</f>
        <v>2243528.34</v>
      </c>
      <c r="E19" s="34">
        <f>1512184.8-245847.03</f>
        <v>1266337.77</v>
      </c>
      <c r="F19" s="35">
        <f>1664783.79+269.56-F9</f>
        <v>1369809.73</v>
      </c>
      <c r="G19" s="90">
        <f t="shared" si="0"/>
        <v>204.49902640007963</v>
      </c>
      <c r="H19" s="90">
        <f t="shared" si="1"/>
        <v>61.056047546963462</v>
      </c>
    </row>
    <row r="20" spans="2:8" x14ac:dyDescent="0.25">
      <c r="B20" s="25" t="s">
        <v>75</v>
      </c>
      <c r="C20" s="33"/>
      <c r="D20" s="33"/>
      <c r="E20" s="34"/>
      <c r="F20" s="35"/>
      <c r="G20" s="90" t="str">
        <f t="shared" si="0"/>
        <v/>
      </c>
      <c r="H20" s="90"/>
    </row>
    <row r="21" spans="2:8" x14ac:dyDescent="0.25">
      <c r="B21" s="26" t="s">
        <v>185</v>
      </c>
      <c r="C21" s="33">
        <v>34294.699999999997</v>
      </c>
      <c r="D21" s="33">
        <v>42690.41</v>
      </c>
      <c r="E21" s="33">
        <v>30135.25</v>
      </c>
      <c r="F21" s="35">
        <v>37306.04</v>
      </c>
      <c r="G21" s="90">
        <f t="shared" si="0"/>
        <v>108.780773705558</v>
      </c>
      <c r="H21" s="90"/>
    </row>
    <row r="22" spans="2:8" ht="25.5" x14ac:dyDescent="0.25">
      <c r="B22" s="171" t="s">
        <v>186</v>
      </c>
      <c r="C22" s="33">
        <v>273287.46000000002</v>
      </c>
      <c r="D22" s="33">
        <v>779217.82</v>
      </c>
      <c r="E22" s="33">
        <v>566297.71</v>
      </c>
      <c r="F22" s="35">
        <v>310950.03000000003</v>
      </c>
      <c r="G22" s="90">
        <f t="shared" si="0"/>
        <v>113.78130193020932</v>
      </c>
      <c r="H22" s="90"/>
    </row>
    <row r="23" spans="2:8" x14ac:dyDescent="0.25">
      <c r="B23" s="25" t="s">
        <v>79</v>
      </c>
      <c r="C23" s="33">
        <v>0</v>
      </c>
      <c r="D23" s="33">
        <v>270</v>
      </c>
      <c r="E23" s="33"/>
      <c r="F23" s="35">
        <v>270</v>
      </c>
      <c r="G23" s="90" t="str">
        <f t="shared" si="0"/>
        <v/>
      </c>
      <c r="H23" s="90">
        <f t="shared" si="1"/>
        <v>100</v>
      </c>
    </row>
    <row r="24" spans="2:8" x14ac:dyDescent="0.25">
      <c r="B24" s="25" t="s">
        <v>80</v>
      </c>
      <c r="C24" s="33">
        <v>79056.61</v>
      </c>
      <c r="D24" s="33">
        <v>107709.02</v>
      </c>
      <c r="E24" s="33">
        <v>55381.91</v>
      </c>
      <c r="F24" s="35">
        <v>88113.69</v>
      </c>
      <c r="G24" s="90">
        <f t="shared" si="0"/>
        <v>111.4564487397069</v>
      </c>
      <c r="H24" s="90">
        <f t="shared" si="1"/>
        <v>81.807159697488657</v>
      </c>
    </row>
    <row r="25" spans="2:8" ht="25.5" x14ac:dyDescent="0.25">
      <c r="B25" s="25" t="s">
        <v>119</v>
      </c>
      <c r="C25" s="33">
        <v>0</v>
      </c>
      <c r="D25" s="33">
        <f>2146420.22-D15</f>
        <v>2146012.9400000004</v>
      </c>
      <c r="E25" s="33">
        <v>2070741.26</v>
      </c>
      <c r="F25" s="35">
        <f>2203661.62-F15</f>
        <v>2202409.19</v>
      </c>
      <c r="G25" s="90" t="str">
        <f t="shared" si="0"/>
        <v/>
      </c>
      <c r="H25" s="90">
        <f t="shared" si="1"/>
        <v>102.62795479695474</v>
      </c>
    </row>
    <row r="26" spans="2:8" ht="25.5" x14ac:dyDescent="0.25">
      <c r="B26" s="171" t="s">
        <v>187</v>
      </c>
      <c r="C26" s="183">
        <v>0</v>
      </c>
      <c r="D26" s="33">
        <v>3499737</v>
      </c>
      <c r="E26" s="33">
        <v>3744442.23</v>
      </c>
      <c r="F26" s="35">
        <v>690838.67</v>
      </c>
      <c r="G26" s="90" t="str">
        <f t="shared" si="0"/>
        <v/>
      </c>
      <c r="H26" s="183"/>
    </row>
  </sheetData>
  <mergeCells count="1">
    <mergeCell ref="B2:H2"/>
  </mergeCells>
  <phoneticPr fontId="35" type="noConversion"/>
  <pageMargins left="0.7" right="0.7" top="0.75" bottom="0.75" header="0.3" footer="0.3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123"/>
  <sheetViews>
    <sheetView topLeftCell="B1" zoomScale="90" zoomScaleNormal="90" workbookViewId="0">
      <selection activeCell="C20" sqref="C20"/>
    </sheetView>
  </sheetViews>
  <sheetFormatPr defaultColWidth="8.85546875" defaultRowHeight="15" x14ac:dyDescent="0.25"/>
  <cols>
    <col min="2" max="2" width="7.42578125" bestFit="1" customWidth="1"/>
    <col min="3" max="3" width="8.42578125" bestFit="1" customWidth="1"/>
    <col min="4" max="4" width="5.42578125" bestFit="1" customWidth="1"/>
    <col min="5" max="5" width="5.42578125" customWidth="1"/>
    <col min="6" max="6" width="45.7109375" customWidth="1"/>
    <col min="7" max="7" width="25.28515625" style="108" customWidth="1"/>
    <col min="8" max="10" width="25.28515625" customWidth="1"/>
    <col min="11" max="12" width="15.7109375" customWidth="1"/>
  </cols>
  <sheetData>
    <row r="1" spans="1:12" ht="18" x14ac:dyDescent="0.25">
      <c r="B1" s="2"/>
      <c r="C1" s="2"/>
      <c r="D1" s="2"/>
      <c r="E1" s="2"/>
      <c r="F1" s="2"/>
      <c r="G1" s="161"/>
      <c r="H1" s="2"/>
      <c r="I1" s="2"/>
      <c r="J1" s="3"/>
      <c r="K1" s="3"/>
    </row>
    <row r="2" spans="1:12" ht="15.75" customHeight="1" x14ac:dyDescent="0.25">
      <c r="B2" s="194" t="s">
        <v>118</v>
      </c>
      <c r="C2" s="194"/>
      <c r="D2" s="194"/>
      <c r="E2" s="194"/>
      <c r="F2" s="194"/>
      <c r="G2" s="194"/>
      <c r="H2" s="194"/>
      <c r="I2" s="194"/>
      <c r="J2" s="194"/>
      <c r="K2" s="194"/>
      <c r="L2" s="194"/>
    </row>
    <row r="3" spans="1:12" ht="18" x14ac:dyDescent="0.25">
      <c r="B3" s="2"/>
      <c r="C3" s="2"/>
      <c r="D3" s="2"/>
      <c r="E3" s="2"/>
      <c r="F3" s="2"/>
      <c r="G3" s="161"/>
      <c r="H3" s="2"/>
      <c r="I3" s="2"/>
      <c r="J3" s="3"/>
      <c r="K3" s="3"/>
      <c r="L3" s="174"/>
    </row>
    <row r="4" spans="1:12" ht="32.25" customHeight="1" x14ac:dyDescent="0.25">
      <c r="B4" s="218" t="s">
        <v>6</v>
      </c>
      <c r="C4" s="219"/>
      <c r="D4" s="219"/>
      <c r="E4" s="219"/>
      <c r="F4" s="220"/>
      <c r="G4" s="162" t="s">
        <v>122</v>
      </c>
      <c r="H4" s="30" t="s">
        <v>25</v>
      </c>
      <c r="I4" s="30" t="s">
        <v>22</v>
      </c>
      <c r="J4" s="30" t="s">
        <v>123</v>
      </c>
      <c r="K4" s="30" t="s">
        <v>10</v>
      </c>
      <c r="L4" s="30" t="s">
        <v>23</v>
      </c>
    </row>
    <row r="5" spans="1:12" s="23" customFormat="1" ht="11.25" x14ac:dyDescent="0.2">
      <c r="B5" s="221">
        <v>1</v>
      </c>
      <c r="C5" s="222"/>
      <c r="D5" s="222"/>
      <c r="E5" s="222"/>
      <c r="F5" s="223"/>
      <c r="G5" s="163">
        <v>2</v>
      </c>
      <c r="H5" s="31">
        <v>3</v>
      </c>
      <c r="I5" s="31">
        <v>4</v>
      </c>
      <c r="J5" s="31">
        <v>5</v>
      </c>
      <c r="K5" s="31" t="s">
        <v>12</v>
      </c>
      <c r="L5" s="31" t="s">
        <v>175</v>
      </c>
    </row>
    <row r="6" spans="1:12" x14ac:dyDescent="0.25">
      <c r="B6" s="55"/>
      <c r="C6" s="55"/>
      <c r="D6" s="55"/>
      <c r="E6" s="55"/>
      <c r="F6" s="55" t="s">
        <v>24</v>
      </c>
      <c r="G6" s="73">
        <f>G10+G13+G17+G20+G23+G26+G29+G7</f>
        <v>3572460.7151191188</v>
      </c>
      <c r="H6" s="57">
        <f t="shared" ref="H6" si="0">H7+H10+H13+H17+H20+H23+H29+H32</f>
        <v>11032407.16</v>
      </c>
      <c r="I6" s="57">
        <f>I10+I13+I17+I20+I23+I29+I32</f>
        <v>10345518.460000001</v>
      </c>
      <c r="J6" s="57">
        <f>J7+J10+J13+J17+J20+J23+J29+J32</f>
        <v>7463686.1399999997</v>
      </c>
      <c r="K6" s="92">
        <f t="shared" ref="K6:K12" si="1">IFERROR(J6/G6*100,"")</f>
        <v>208.92283317246032</v>
      </c>
      <c r="L6" s="92">
        <f>IFERROR(J6/H6*100,"")</f>
        <v>67.652381132749994</v>
      </c>
    </row>
    <row r="7" spans="1:12" x14ac:dyDescent="0.25">
      <c r="B7" s="55"/>
      <c r="C7" s="55"/>
      <c r="D7" s="55"/>
      <c r="E7" s="55"/>
      <c r="F7" s="55" t="s">
        <v>82</v>
      </c>
      <c r="G7" s="73"/>
      <c r="H7" s="57">
        <f t="shared" ref="H7:I7" si="2">SUM(H8)</f>
        <v>23680</v>
      </c>
      <c r="I7" s="57">
        <f t="shared" si="2"/>
        <v>0</v>
      </c>
      <c r="J7" s="57">
        <f>SUM(J8)</f>
        <v>39815.300000000003</v>
      </c>
      <c r="K7" s="92" t="str">
        <f t="shared" si="1"/>
        <v/>
      </c>
      <c r="L7" s="92">
        <f>IFERROR(J7/H7*100,"")</f>
        <v>168.13893581081084</v>
      </c>
    </row>
    <row r="8" spans="1:12" x14ac:dyDescent="0.25">
      <c r="B8" s="76">
        <v>6</v>
      </c>
      <c r="C8" s="76"/>
      <c r="D8" s="76">
        <v>6</v>
      </c>
      <c r="E8" s="76"/>
      <c r="F8" s="76" t="s">
        <v>2</v>
      </c>
      <c r="G8" s="77"/>
      <c r="H8" s="70">
        <f t="shared" ref="H8:I8" si="3">SUM(H9)</f>
        <v>23680</v>
      </c>
      <c r="I8" s="70">
        <f t="shared" si="3"/>
        <v>0</v>
      </c>
      <c r="J8" s="70">
        <f>SUM(J9)</f>
        <v>39815.300000000003</v>
      </c>
      <c r="K8" s="133" t="str">
        <f t="shared" si="1"/>
        <v/>
      </c>
      <c r="L8" s="110">
        <f t="shared" ref="L8:L34" si="4">IFERROR(J8/H8*100,"")</f>
        <v>168.13893581081084</v>
      </c>
    </row>
    <row r="9" spans="1:12" x14ac:dyDescent="0.25">
      <c r="B9" s="5"/>
      <c r="C9" s="8">
        <v>67</v>
      </c>
      <c r="D9" s="8"/>
      <c r="E9" s="8">
        <v>67</v>
      </c>
      <c r="F9" s="8" t="s">
        <v>117</v>
      </c>
      <c r="G9" s="79"/>
      <c r="H9" s="79">
        <v>23680</v>
      </c>
      <c r="I9" s="79"/>
      <c r="J9" s="80">
        <v>39815.300000000003</v>
      </c>
      <c r="K9" s="133" t="str">
        <f t="shared" si="1"/>
        <v/>
      </c>
      <c r="L9" s="185">
        <f t="shared" si="4"/>
        <v>168.13893581081084</v>
      </c>
    </row>
    <row r="10" spans="1:12" ht="25.5" x14ac:dyDescent="0.25">
      <c r="B10" s="55"/>
      <c r="C10" s="125"/>
      <c r="D10" s="125"/>
      <c r="E10" s="125"/>
      <c r="F10" s="55" t="s">
        <v>145</v>
      </c>
      <c r="G10" s="143">
        <f t="shared" ref="G10:I10" si="5">SUM(G11)</f>
        <v>268758.60773773969</v>
      </c>
      <c r="H10" s="143">
        <f t="shared" si="5"/>
        <v>247174.26</v>
      </c>
      <c r="I10" s="143">
        <f t="shared" si="5"/>
        <v>247388.27</v>
      </c>
      <c r="J10" s="143">
        <f>SUM(J11)</f>
        <v>778488.56</v>
      </c>
      <c r="K10" s="92">
        <f t="shared" si="1"/>
        <v>289.66088437236795</v>
      </c>
      <c r="L10" s="92">
        <f t="shared" si="4"/>
        <v>314.95535174253178</v>
      </c>
    </row>
    <row r="11" spans="1:12" x14ac:dyDescent="0.25">
      <c r="B11" s="117">
        <v>6</v>
      </c>
      <c r="C11" s="117"/>
      <c r="D11" s="129">
        <v>6</v>
      </c>
      <c r="E11" s="117"/>
      <c r="F11" s="129" t="s">
        <v>2</v>
      </c>
      <c r="G11" s="144">
        <f t="shared" ref="G11:I11" si="6">SUM(G12)</f>
        <v>268758.60773773969</v>
      </c>
      <c r="H11" s="144">
        <f t="shared" si="6"/>
        <v>247174.26</v>
      </c>
      <c r="I11" s="144">
        <f t="shared" si="6"/>
        <v>247388.27</v>
      </c>
      <c r="J11" s="144">
        <f>SUM(J12)</f>
        <v>778488.56</v>
      </c>
      <c r="K11" s="133">
        <f t="shared" si="1"/>
        <v>289.66088437236795</v>
      </c>
      <c r="L11" s="110">
        <f t="shared" si="4"/>
        <v>314.95535174253178</v>
      </c>
    </row>
    <row r="12" spans="1:12" x14ac:dyDescent="0.25">
      <c r="B12" s="5"/>
      <c r="C12" s="8">
        <v>67</v>
      </c>
      <c r="D12" s="8"/>
      <c r="E12" s="8">
        <v>67</v>
      </c>
      <c r="F12" s="8" t="s">
        <v>117</v>
      </c>
      <c r="G12" s="79">
        <f>(1894800.71+7000+123161.02)/7.5345</f>
        <v>268758.60773773969</v>
      </c>
      <c r="H12" s="79">
        <v>247174.26</v>
      </c>
      <c r="I12" s="79">
        <v>247388.27</v>
      </c>
      <c r="J12" s="80">
        <v>778488.56</v>
      </c>
      <c r="K12" s="133">
        <f t="shared" si="1"/>
        <v>289.66088437236795</v>
      </c>
      <c r="L12" s="185">
        <f t="shared" si="4"/>
        <v>314.95535174253178</v>
      </c>
    </row>
    <row r="13" spans="1:12" x14ac:dyDescent="0.25">
      <c r="B13" s="55"/>
      <c r="C13" s="55"/>
      <c r="D13" s="55"/>
      <c r="E13" s="55"/>
      <c r="F13" s="55" t="s">
        <v>84</v>
      </c>
      <c r="G13" s="73">
        <f t="shared" ref="G13:I13" si="7">SUM(G14)</f>
        <v>78725.453580197762</v>
      </c>
      <c r="H13" s="73">
        <f t="shared" si="7"/>
        <v>59712.259999999995</v>
      </c>
      <c r="I13" s="73">
        <f t="shared" si="7"/>
        <v>59725.259999999995</v>
      </c>
      <c r="J13" s="73">
        <f>SUM(J14)</f>
        <v>63653.95</v>
      </c>
      <c r="K13" s="92">
        <f>IFERROR(J13/G13*100,"")</f>
        <v>80.855615439745421</v>
      </c>
      <c r="L13" s="92">
        <f t="shared" si="4"/>
        <v>106.60114020135897</v>
      </c>
    </row>
    <row r="14" spans="1:12" ht="14.45" x14ac:dyDescent="0.3">
      <c r="A14" s="101"/>
      <c r="B14" s="76">
        <v>6</v>
      </c>
      <c r="C14" s="76"/>
      <c r="D14" s="76">
        <v>6</v>
      </c>
      <c r="E14" s="76"/>
      <c r="F14" s="76" t="s">
        <v>2</v>
      </c>
      <c r="G14" s="77">
        <f>SUM(G15:G16)</f>
        <v>78725.453580197762</v>
      </c>
      <c r="H14" s="77">
        <f t="shared" ref="H14:I14" si="8">SUM(H15:H16)</f>
        <v>59712.259999999995</v>
      </c>
      <c r="I14" s="77">
        <f t="shared" si="8"/>
        <v>59725.259999999995</v>
      </c>
      <c r="J14" s="77">
        <f>SUM(J15:J16)</f>
        <v>63653.95</v>
      </c>
      <c r="K14" s="110">
        <f t="shared" ref="K14:K34" si="9">IFERROR(J14/G14*100,"")</f>
        <v>80.855615439745421</v>
      </c>
      <c r="L14" s="110">
        <f t="shared" si="4"/>
        <v>106.60114020135897</v>
      </c>
    </row>
    <row r="15" spans="1:12" x14ac:dyDescent="0.25">
      <c r="A15" s="101"/>
      <c r="B15" s="6"/>
      <c r="C15" s="6">
        <v>64</v>
      </c>
      <c r="D15" s="7"/>
      <c r="E15" s="7">
        <v>64</v>
      </c>
      <c r="F15" s="6" t="s">
        <v>92</v>
      </c>
      <c r="G15" s="79">
        <f>(1.55+7.12)/7.5345</f>
        <v>1.1507067489548077</v>
      </c>
      <c r="H15" s="79">
        <v>0.27</v>
      </c>
      <c r="I15" s="79">
        <v>13.27</v>
      </c>
      <c r="J15" s="80">
        <v>0.32</v>
      </c>
      <c r="K15" s="100">
        <f t="shared" si="9"/>
        <v>27.808996539792393</v>
      </c>
      <c r="L15" s="185">
        <f t="shared" si="4"/>
        <v>118.5185185185185</v>
      </c>
    </row>
    <row r="16" spans="1:12" x14ac:dyDescent="0.25">
      <c r="A16" s="101"/>
      <c r="B16" s="6"/>
      <c r="C16" s="6">
        <v>66</v>
      </c>
      <c r="D16" s="7"/>
      <c r="E16" s="6">
        <v>66</v>
      </c>
      <c r="F16" s="6" t="s">
        <v>146</v>
      </c>
      <c r="G16" s="79">
        <f>(264843+328305.26)/7.5345</f>
        <v>78724.302873448803</v>
      </c>
      <c r="H16" s="79">
        <v>59711.99</v>
      </c>
      <c r="I16" s="79">
        <v>59711.99</v>
      </c>
      <c r="J16" s="80">
        <v>63653.63</v>
      </c>
      <c r="K16" s="100"/>
      <c r="L16" s="185">
        <f t="shared" si="4"/>
        <v>106.60108631449062</v>
      </c>
    </row>
    <row r="17" spans="2:12" ht="14.45" x14ac:dyDescent="0.3">
      <c r="B17" s="55"/>
      <c r="C17" s="55"/>
      <c r="D17" s="55"/>
      <c r="E17" s="55"/>
      <c r="F17" s="86" t="s">
        <v>87</v>
      </c>
      <c r="G17" s="73">
        <f>G18</f>
        <v>5997.7437122569509</v>
      </c>
      <c r="H17" s="73">
        <f t="shared" ref="H17:I17" si="10">H18</f>
        <v>19660.02</v>
      </c>
      <c r="I17" s="73">
        <f t="shared" si="10"/>
        <v>3981.68</v>
      </c>
      <c r="J17" s="73">
        <f>J18</f>
        <v>19830.02</v>
      </c>
      <c r="K17" s="92">
        <f t="shared" si="9"/>
        <v>330.6246640628458</v>
      </c>
      <c r="L17" s="92">
        <f t="shared" si="4"/>
        <v>100.86469901861747</v>
      </c>
    </row>
    <row r="18" spans="2:12" x14ac:dyDescent="0.25">
      <c r="B18" s="76">
        <v>6</v>
      </c>
      <c r="C18" s="76"/>
      <c r="D18" s="76">
        <v>6</v>
      </c>
      <c r="E18" s="76"/>
      <c r="F18" s="76" t="s">
        <v>2</v>
      </c>
      <c r="G18" s="77">
        <f>G19</f>
        <v>5997.7437122569509</v>
      </c>
      <c r="H18" s="77">
        <v>19660.02</v>
      </c>
      <c r="I18" s="77">
        <f>I19</f>
        <v>3981.68</v>
      </c>
      <c r="J18" s="77">
        <f>J19</f>
        <v>19830.02</v>
      </c>
      <c r="K18" s="110">
        <f t="shared" si="9"/>
        <v>330.6246640628458</v>
      </c>
      <c r="L18" s="110">
        <f t="shared" si="4"/>
        <v>100.86469901861747</v>
      </c>
    </row>
    <row r="19" spans="2:12" ht="25.5" x14ac:dyDescent="0.25">
      <c r="B19" s="6"/>
      <c r="C19" s="6">
        <v>65</v>
      </c>
      <c r="D19" s="7"/>
      <c r="E19" s="7">
        <v>65</v>
      </c>
      <c r="F19" s="24" t="s">
        <v>93</v>
      </c>
      <c r="G19" s="108">
        <f>(41940+3250)/7.5345</f>
        <v>5997.7437122569509</v>
      </c>
      <c r="H19" s="79">
        <v>19660.02</v>
      </c>
      <c r="I19" s="79">
        <v>3981.68</v>
      </c>
      <c r="J19" s="69">
        <v>19830.02</v>
      </c>
      <c r="K19" s="100">
        <f>IFERROR(J19/G16*100,"")</f>
        <v>25.189197333226605</v>
      </c>
      <c r="L19" s="185">
        <f t="shared" si="4"/>
        <v>100.86469901861747</v>
      </c>
    </row>
    <row r="20" spans="2:12" x14ac:dyDescent="0.25">
      <c r="B20" s="55"/>
      <c r="C20" s="55"/>
      <c r="D20" s="55"/>
      <c r="E20" s="55"/>
      <c r="F20" s="55" t="s">
        <v>88</v>
      </c>
      <c r="G20" s="73">
        <f>SUM(G21)</f>
        <v>2017031.3515249852</v>
      </c>
      <c r="H20" s="73">
        <f t="shared" ref="H20:I20" si="11">H21</f>
        <v>2849848.7</v>
      </c>
      <c r="I20" s="73">
        <f t="shared" si="11"/>
        <v>2373503.17</v>
      </c>
      <c r="J20" s="73">
        <f>J21</f>
        <v>2719480.27</v>
      </c>
      <c r="K20" s="92">
        <f t="shared" si="9"/>
        <v>134.82588002134551</v>
      </c>
      <c r="L20" s="92">
        <f t="shared" si="4"/>
        <v>95.425426269120877</v>
      </c>
    </row>
    <row r="21" spans="2:12" ht="14.45" x14ac:dyDescent="0.3">
      <c r="B21" s="76">
        <v>6</v>
      </c>
      <c r="C21" s="76"/>
      <c r="D21" s="76">
        <v>6</v>
      </c>
      <c r="E21" s="76"/>
      <c r="F21" s="76" t="s">
        <v>2</v>
      </c>
      <c r="G21" s="77">
        <f>G22</f>
        <v>2017031.3515249852</v>
      </c>
      <c r="H21" s="77">
        <f t="shared" ref="H21:I21" si="12">H22</f>
        <v>2849848.7</v>
      </c>
      <c r="I21" s="77">
        <f t="shared" si="12"/>
        <v>2373503.17</v>
      </c>
      <c r="J21" s="77">
        <f>J22</f>
        <v>2719480.27</v>
      </c>
      <c r="K21" s="110">
        <f t="shared" si="9"/>
        <v>134.82588002134551</v>
      </c>
      <c r="L21" s="110">
        <f t="shared" si="4"/>
        <v>95.425426269120877</v>
      </c>
    </row>
    <row r="22" spans="2:12" ht="25.5" x14ac:dyDescent="0.25">
      <c r="B22" s="5"/>
      <c r="C22" s="8">
        <v>63</v>
      </c>
      <c r="D22" s="8"/>
      <c r="E22" s="8">
        <v>63</v>
      </c>
      <c r="F22" s="8" t="s">
        <v>14</v>
      </c>
      <c r="G22" s="79">
        <f>(7821773.35+7115324.54)/7.5345+34537.77</f>
        <v>2017031.3515249852</v>
      </c>
      <c r="H22" s="79">
        <v>2849848.7</v>
      </c>
      <c r="I22" s="79">
        <v>2373503.17</v>
      </c>
      <c r="J22" s="80">
        <v>2719480.27</v>
      </c>
      <c r="K22" s="100">
        <f t="shared" si="9"/>
        <v>134.82588002134551</v>
      </c>
      <c r="L22" s="110">
        <f t="shared" si="4"/>
        <v>95.425426269120877</v>
      </c>
    </row>
    <row r="23" spans="2:12" x14ac:dyDescent="0.25">
      <c r="B23" s="55"/>
      <c r="C23" s="55"/>
      <c r="D23" s="55"/>
      <c r="E23" s="55"/>
      <c r="F23" s="55" t="s">
        <v>89</v>
      </c>
      <c r="G23" s="73">
        <f>G24</f>
        <v>8938.0609197690628</v>
      </c>
      <c r="H23" s="73">
        <f t="shared" ref="H23:I23" si="13">H24</f>
        <v>275</v>
      </c>
      <c r="I23" s="73">
        <f t="shared" si="13"/>
        <v>0</v>
      </c>
      <c r="J23" s="73">
        <f>J24</f>
        <v>6314.23</v>
      </c>
      <c r="K23" s="92">
        <f t="shared" si="9"/>
        <v>70.644293618924493</v>
      </c>
      <c r="L23" s="92">
        <f t="shared" si="4"/>
        <v>2296.0836363636363</v>
      </c>
    </row>
    <row r="24" spans="2:12" x14ac:dyDescent="0.25">
      <c r="B24" s="76">
        <v>6</v>
      </c>
      <c r="C24" s="76"/>
      <c r="D24" s="76">
        <v>6</v>
      </c>
      <c r="E24" s="76"/>
      <c r="F24" s="76" t="s">
        <v>2</v>
      </c>
      <c r="G24" s="77">
        <f>G25</f>
        <v>8938.0609197690628</v>
      </c>
      <c r="H24" s="77">
        <f t="shared" ref="H24:I24" si="14">SUM(H25)</f>
        <v>275</v>
      </c>
      <c r="I24" s="77">
        <f t="shared" si="14"/>
        <v>0</v>
      </c>
      <c r="J24" s="77">
        <f>SUM(J25)</f>
        <v>6314.23</v>
      </c>
      <c r="K24" s="133">
        <f t="shared" si="9"/>
        <v>70.644293618924493</v>
      </c>
      <c r="L24" s="110">
        <f t="shared" si="4"/>
        <v>2296.0836363636363</v>
      </c>
    </row>
    <row r="25" spans="2:12" x14ac:dyDescent="0.25">
      <c r="B25" s="5"/>
      <c r="C25" s="8">
        <v>66</v>
      </c>
      <c r="D25" s="5"/>
      <c r="E25" s="8">
        <v>66</v>
      </c>
      <c r="F25" s="8" t="s">
        <v>116</v>
      </c>
      <c r="G25" s="33">
        <f>67343.82/7.5345</f>
        <v>8938.0609197690628</v>
      </c>
      <c r="H25" s="33">
        <v>275</v>
      </c>
      <c r="I25" s="33"/>
      <c r="J25" s="33">
        <v>6314.23</v>
      </c>
      <c r="K25" s="133">
        <f t="shared" si="9"/>
        <v>70.644293618924493</v>
      </c>
      <c r="L25" s="185">
        <f t="shared" si="4"/>
        <v>2296.0836363636363</v>
      </c>
    </row>
    <row r="26" spans="2:12" x14ac:dyDescent="0.25">
      <c r="B26" s="55"/>
      <c r="C26" s="125"/>
      <c r="D26" s="55"/>
      <c r="E26" s="125"/>
      <c r="F26" s="55" t="s">
        <v>147</v>
      </c>
      <c r="G26" s="73">
        <f>G27</f>
        <v>32.517088061583379</v>
      </c>
      <c r="H26" s="73"/>
      <c r="I26" s="73"/>
      <c r="J26" s="73"/>
      <c r="K26" s="93">
        <f t="shared" si="9"/>
        <v>0</v>
      </c>
      <c r="L26" s="92" t="str">
        <f t="shared" si="4"/>
        <v/>
      </c>
    </row>
    <row r="27" spans="2:12" x14ac:dyDescent="0.25">
      <c r="B27" s="5"/>
      <c r="C27" s="8"/>
      <c r="D27" s="5">
        <v>7</v>
      </c>
      <c r="E27" s="8"/>
      <c r="F27" s="5" t="s">
        <v>131</v>
      </c>
      <c r="G27" s="33">
        <f>G28</f>
        <v>32.517088061583379</v>
      </c>
      <c r="H27" s="33"/>
      <c r="I27" s="33"/>
      <c r="J27" s="33"/>
      <c r="K27" s="110">
        <f t="shared" si="9"/>
        <v>0</v>
      </c>
      <c r="L27" s="110" t="str">
        <f t="shared" si="4"/>
        <v/>
      </c>
    </row>
    <row r="28" spans="2:12" x14ac:dyDescent="0.25">
      <c r="B28" s="5"/>
      <c r="C28" s="8">
        <v>72</v>
      </c>
      <c r="D28" s="5"/>
      <c r="E28" s="8">
        <v>72</v>
      </c>
      <c r="F28" s="8" t="s">
        <v>134</v>
      </c>
      <c r="G28" s="33">
        <f>245/7.5345</f>
        <v>32.517088061583379</v>
      </c>
      <c r="H28" s="33"/>
      <c r="I28" s="33"/>
      <c r="J28" s="33"/>
      <c r="K28" s="110">
        <f t="shared" si="9"/>
        <v>0</v>
      </c>
      <c r="L28" s="110" t="str">
        <f t="shared" si="4"/>
        <v/>
      </c>
    </row>
    <row r="29" spans="2:12" x14ac:dyDescent="0.25">
      <c r="B29" s="55"/>
      <c r="C29" s="125"/>
      <c r="D29" s="55"/>
      <c r="E29" s="125"/>
      <c r="F29" s="55" t="s">
        <v>150</v>
      </c>
      <c r="G29" s="73">
        <f>G31</f>
        <v>1192976.9805561085</v>
      </c>
      <c r="H29" s="73">
        <f t="shared" ref="H29:I29" si="15">H30</f>
        <v>6871346.4699999997</v>
      </c>
      <c r="I29" s="73">
        <f t="shared" si="15"/>
        <v>7660920.0800000001</v>
      </c>
      <c r="J29" s="73">
        <f>J30</f>
        <v>3505181.94</v>
      </c>
      <c r="K29" s="93">
        <f t="shared" si="9"/>
        <v>293.81807001557172</v>
      </c>
      <c r="L29" s="92">
        <f t="shared" si="4"/>
        <v>51.011573281939313</v>
      </c>
    </row>
    <row r="30" spans="2:12" x14ac:dyDescent="0.25">
      <c r="B30" s="129">
        <v>6</v>
      </c>
      <c r="C30" s="117"/>
      <c r="D30" s="129">
        <v>6</v>
      </c>
      <c r="E30" s="117"/>
      <c r="F30" s="129" t="s">
        <v>2</v>
      </c>
      <c r="G30" s="134">
        <f>SUM(G31)</f>
        <v>1192976.9805561085</v>
      </c>
      <c r="H30" s="134">
        <f t="shared" ref="H30:I30" si="16">SUM(H31)</f>
        <v>6871346.4699999997</v>
      </c>
      <c r="I30" s="134">
        <f t="shared" si="16"/>
        <v>7660920.0800000001</v>
      </c>
      <c r="J30" s="134">
        <f>SUM(J31)</f>
        <v>3505181.94</v>
      </c>
      <c r="K30" s="133">
        <f t="shared" si="9"/>
        <v>293.81807001557172</v>
      </c>
      <c r="L30" s="110">
        <f t="shared" si="4"/>
        <v>51.011573281939313</v>
      </c>
    </row>
    <row r="31" spans="2:12" ht="26.25" customHeight="1" x14ac:dyDescent="0.25">
      <c r="B31" s="5"/>
      <c r="C31" s="8">
        <v>63</v>
      </c>
      <c r="D31" s="8"/>
      <c r="E31" s="8">
        <v>63</v>
      </c>
      <c r="F31" s="8" t="s">
        <v>14</v>
      </c>
      <c r="G31" s="79">
        <f>(5137011.12+3851473.94)/7.5345</f>
        <v>1192976.9805561085</v>
      </c>
      <c r="H31" s="79">
        <v>6871346.4699999997</v>
      </c>
      <c r="I31" s="79">
        <v>7660920.0800000001</v>
      </c>
      <c r="J31" s="80">
        <v>3505181.94</v>
      </c>
      <c r="K31" s="133">
        <f t="shared" si="9"/>
        <v>293.81807001557172</v>
      </c>
      <c r="L31" s="185">
        <f t="shared" si="4"/>
        <v>51.011573281939313</v>
      </c>
    </row>
    <row r="32" spans="2:12" ht="18.75" customHeight="1" x14ac:dyDescent="0.25">
      <c r="B32" s="55"/>
      <c r="C32" s="125"/>
      <c r="D32" s="55"/>
      <c r="E32" s="125"/>
      <c r="F32" s="55" t="s">
        <v>176</v>
      </c>
      <c r="G32" s="73"/>
      <c r="H32" s="73">
        <f t="shared" ref="H32:I32" si="17">H33</f>
        <v>960710.45</v>
      </c>
      <c r="I32" s="73">
        <f t="shared" si="17"/>
        <v>0</v>
      </c>
      <c r="J32" s="73">
        <f>J33</f>
        <v>330921.87</v>
      </c>
      <c r="K32" s="93" t="str">
        <f t="shared" si="9"/>
        <v/>
      </c>
      <c r="L32" s="92">
        <f t="shared" si="4"/>
        <v>34.445536633852583</v>
      </c>
    </row>
    <row r="33" spans="2:12" ht="26.25" customHeight="1" x14ac:dyDescent="0.25">
      <c r="B33" s="129">
        <v>8</v>
      </c>
      <c r="C33" s="117"/>
      <c r="D33" s="129">
        <v>8</v>
      </c>
      <c r="E33" s="117"/>
      <c r="F33" s="129" t="s">
        <v>178</v>
      </c>
      <c r="G33" s="134"/>
      <c r="H33" s="134">
        <f t="shared" ref="H33:I33" si="18">H34</f>
        <v>960710.45</v>
      </c>
      <c r="I33" s="134">
        <f t="shared" si="18"/>
        <v>0</v>
      </c>
      <c r="J33" s="134">
        <f>J34</f>
        <v>330921.87</v>
      </c>
      <c r="K33" s="133" t="str">
        <f t="shared" si="9"/>
        <v/>
      </c>
      <c r="L33" s="110">
        <f t="shared" si="4"/>
        <v>34.445536633852583</v>
      </c>
    </row>
    <row r="34" spans="2:12" ht="26.25" customHeight="1" x14ac:dyDescent="0.25">
      <c r="B34" s="5"/>
      <c r="C34" s="8">
        <v>84</v>
      </c>
      <c r="D34" s="8"/>
      <c r="E34" s="8">
        <v>84</v>
      </c>
      <c r="F34" s="8" t="s">
        <v>177</v>
      </c>
      <c r="G34" s="79"/>
      <c r="H34" s="79">
        <v>960710.45</v>
      </c>
      <c r="I34" s="79"/>
      <c r="J34" s="80">
        <v>330921.87</v>
      </c>
      <c r="K34" s="133" t="str">
        <f t="shared" si="9"/>
        <v/>
      </c>
      <c r="L34" s="185">
        <f t="shared" si="4"/>
        <v>34.445536633852583</v>
      </c>
    </row>
    <row r="35" spans="2:12" ht="26.25" customHeight="1" x14ac:dyDescent="0.25">
      <c r="B35" s="175"/>
      <c r="C35" s="176"/>
      <c r="D35" s="176"/>
      <c r="E35" s="176"/>
      <c r="F35" s="176"/>
      <c r="G35" s="177"/>
      <c r="H35" s="177"/>
      <c r="I35" s="177"/>
      <c r="J35" s="178"/>
      <c r="K35" s="179"/>
      <c r="L35" s="179"/>
    </row>
    <row r="36" spans="2:12" ht="15.75" customHeight="1" x14ac:dyDescent="0.25">
      <c r="K36" s="98"/>
      <c r="L36" s="98"/>
    </row>
    <row r="37" spans="2:12" ht="15.75" customHeight="1" x14ac:dyDescent="0.25">
      <c r="B37" s="2"/>
      <c r="C37" s="2"/>
      <c r="D37" s="2"/>
      <c r="E37" s="2"/>
      <c r="F37" s="2"/>
      <c r="G37" s="161"/>
      <c r="H37" s="2"/>
      <c r="I37" s="2"/>
      <c r="J37" s="3"/>
      <c r="K37" s="99"/>
      <c r="L37" s="99"/>
    </row>
    <row r="38" spans="2:12" ht="33" customHeight="1" x14ac:dyDescent="0.25">
      <c r="B38" s="218" t="s">
        <v>6</v>
      </c>
      <c r="C38" s="219"/>
      <c r="D38" s="219"/>
      <c r="E38" s="219"/>
      <c r="F38" s="220"/>
      <c r="G38" s="162" t="s">
        <v>122</v>
      </c>
      <c r="H38" s="30" t="s">
        <v>25</v>
      </c>
      <c r="I38" s="30" t="s">
        <v>22</v>
      </c>
      <c r="J38" s="30" t="s">
        <v>123</v>
      </c>
      <c r="K38" s="96" t="s">
        <v>10</v>
      </c>
      <c r="L38" s="96" t="s">
        <v>23</v>
      </c>
    </row>
    <row r="39" spans="2:12" s="23" customFormat="1" ht="11.25" x14ac:dyDescent="0.2">
      <c r="B39" s="224">
        <v>1</v>
      </c>
      <c r="C39" s="225"/>
      <c r="D39" s="225"/>
      <c r="E39" s="225"/>
      <c r="F39" s="226"/>
      <c r="G39" s="163">
        <v>2</v>
      </c>
      <c r="H39" s="31">
        <v>3</v>
      </c>
      <c r="I39" s="31">
        <v>4</v>
      </c>
      <c r="J39" s="31">
        <v>5</v>
      </c>
      <c r="K39" s="97" t="s">
        <v>12</v>
      </c>
      <c r="L39" s="97" t="s">
        <v>13</v>
      </c>
    </row>
    <row r="40" spans="2:12" x14ac:dyDescent="0.25">
      <c r="B40" s="55"/>
      <c r="C40" s="55"/>
      <c r="D40" s="55"/>
      <c r="E40" s="55"/>
      <c r="F40" s="55" t="s">
        <v>20</v>
      </c>
      <c r="G40" s="73">
        <f>G41+G54+G61+G66+G72+G80+G94+G106+G118+G76</f>
        <v>3491988.4481498441</v>
      </c>
      <c r="H40" s="73">
        <f>H41+H54+H61+H66+H72+H76+H80+H91+H94+H106+H109+H121+H49</f>
        <v>11844340.57</v>
      </c>
      <c r="I40" s="73">
        <f>I41+I54+I61+I66+I72+I76+I80+I91+I94+I106+I109+I121+I49</f>
        <v>10403535.369999999</v>
      </c>
      <c r="J40" s="73">
        <f>J41+J49+J54+J61+J66+J72+J76+J80+J91+J94+J106+J109+J121</f>
        <v>7515063.9699999997</v>
      </c>
      <c r="K40" s="92">
        <f t="shared" ref="K40:K120" si="19">IFERROR(J40/G40*100,"")</f>
        <v>215.2087293983374</v>
      </c>
      <c r="L40" s="92">
        <f t="shared" ref="L40:L120" si="20">IFERROR(J40/H40*100,"")</f>
        <v>63.44856368816825</v>
      </c>
    </row>
    <row r="41" spans="2:12" x14ac:dyDescent="0.25">
      <c r="B41" s="55"/>
      <c r="C41" s="55"/>
      <c r="D41" s="55"/>
      <c r="E41" s="55"/>
      <c r="F41" s="55" t="s">
        <v>82</v>
      </c>
      <c r="G41" s="73">
        <f>G42</f>
        <v>17076.251907890372</v>
      </c>
      <c r="H41" s="73">
        <f>H42+H47</f>
        <v>52970.55</v>
      </c>
      <c r="I41" s="73">
        <f t="shared" ref="I41:J41" si="21">I42+I47</f>
        <v>0</v>
      </c>
      <c r="J41" s="73">
        <f t="shared" si="21"/>
        <v>40324.69</v>
      </c>
      <c r="K41" s="92">
        <f t="shared" si="19"/>
        <v>236.14485320029331</v>
      </c>
      <c r="L41" s="92">
        <f t="shared" si="20"/>
        <v>76.126621301836579</v>
      </c>
    </row>
    <row r="42" spans="2:12" x14ac:dyDescent="0.25">
      <c r="B42" s="76">
        <v>3</v>
      </c>
      <c r="C42" s="76"/>
      <c r="D42" s="76">
        <v>3</v>
      </c>
      <c r="E42" s="76"/>
      <c r="F42" s="76" t="s">
        <v>3</v>
      </c>
      <c r="G42" s="77">
        <f>SUM(G43:G46)</f>
        <v>17076.251907890372</v>
      </c>
      <c r="H42" s="70">
        <f t="shared" ref="H42:I42" si="22">SUM(H43:H46)</f>
        <v>52970.55</v>
      </c>
      <c r="I42" s="70">
        <f t="shared" si="22"/>
        <v>0</v>
      </c>
      <c r="J42" s="70">
        <f>SUM(J43:J46)</f>
        <v>40324.69</v>
      </c>
      <c r="K42" s="110">
        <f t="shared" si="19"/>
        <v>236.14485320029331</v>
      </c>
      <c r="L42" s="110">
        <f t="shared" si="20"/>
        <v>76.126621301836579</v>
      </c>
    </row>
    <row r="43" spans="2:12" x14ac:dyDescent="0.25">
      <c r="B43" s="5"/>
      <c r="C43" s="8">
        <v>31</v>
      </c>
      <c r="D43" s="8"/>
      <c r="E43" s="8">
        <v>31</v>
      </c>
      <c r="F43" s="8" t="s">
        <v>4</v>
      </c>
      <c r="G43" s="79">
        <f>(117305.41+967.2+5500)/7.5345</f>
        <v>16427.448404008228</v>
      </c>
      <c r="H43" s="79">
        <f>5910+1129.95+13327.01+11013.33+7265.28+7000</f>
        <v>45645.57</v>
      </c>
      <c r="I43" s="79"/>
      <c r="J43" s="80">
        <f>5910+1128.13+11279.08+11013.33+7260.17</f>
        <v>36590.71</v>
      </c>
      <c r="K43" s="100">
        <f t="shared" si="19"/>
        <v>222.74128702222566</v>
      </c>
      <c r="L43" s="100">
        <f t="shared" si="20"/>
        <v>80.162675151170205</v>
      </c>
    </row>
    <row r="44" spans="2:12" s="95" customFormat="1" x14ac:dyDescent="0.25">
      <c r="B44" s="6"/>
      <c r="C44" s="6">
        <v>32</v>
      </c>
      <c r="D44" s="7"/>
      <c r="E44" s="6">
        <v>32</v>
      </c>
      <c r="F44" s="6" t="s">
        <v>9</v>
      </c>
      <c r="G44" s="79">
        <f>4888.41/7.5345</f>
        <v>648.80350388214208</v>
      </c>
      <c r="H44" s="79">
        <f>1292.55+1750.49+978.49+3033.45</f>
        <v>7054.98</v>
      </c>
      <c r="I44" s="79"/>
      <c r="J44" s="80">
        <f>1750.49+735+978.49</f>
        <v>3463.9799999999996</v>
      </c>
      <c r="K44" s="100">
        <f t="shared" si="19"/>
        <v>533.902788636796</v>
      </c>
      <c r="L44" s="100">
        <f t="shared" si="20"/>
        <v>49.099784832841479</v>
      </c>
    </row>
    <row r="45" spans="2:12" x14ac:dyDescent="0.25">
      <c r="B45" s="6"/>
      <c r="C45" s="6">
        <v>37</v>
      </c>
      <c r="D45" s="7"/>
      <c r="E45" s="6">
        <v>37</v>
      </c>
      <c r="F45" s="6" t="s">
        <v>110</v>
      </c>
      <c r="G45" s="79"/>
      <c r="H45" s="79">
        <v>270</v>
      </c>
      <c r="I45" s="79"/>
      <c r="J45" s="80">
        <v>270</v>
      </c>
      <c r="K45" s="100" t="str">
        <f t="shared" si="19"/>
        <v/>
      </c>
      <c r="L45" s="100">
        <f t="shared" si="20"/>
        <v>100</v>
      </c>
    </row>
    <row r="46" spans="2:12" x14ac:dyDescent="0.25">
      <c r="B46" s="6"/>
      <c r="C46" s="6">
        <v>38</v>
      </c>
      <c r="D46" s="7"/>
      <c r="E46" s="6">
        <v>38</v>
      </c>
      <c r="F46" s="6" t="s">
        <v>115</v>
      </c>
      <c r="G46" s="79"/>
      <c r="H46" s="79"/>
      <c r="I46" s="79"/>
      <c r="J46" s="80"/>
      <c r="K46" s="100" t="str">
        <f t="shared" si="19"/>
        <v/>
      </c>
      <c r="L46" s="100" t="str">
        <f t="shared" si="20"/>
        <v/>
      </c>
    </row>
    <row r="47" spans="2:12" x14ac:dyDescent="0.25">
      <c r="B47" s="82">
        <v>4</v>
      </c>
      <c r="C47" s="82"/>
      <c r="D47" s="82">
        <v>4</v>
      </c>
      <c r="E47" s="82"/>
      <c r="F47" s="83" t="s">
        <v>5</v>
      </c>
      <c r="G47" s="77"/>
      <c r="H47" s="77">
        <f>SUM(H48)</f>
        <v>0</v>
      </c>
      <c r="I47" s="77">
        <f t="shared" ref="I47:J47" si="23">SUM(I48)</f>
        <v>0</v>
      </c>
      <c r="J47" s="77">
        <f t="shared" si="23"/>
        <v>0</v>
      </c>
      <c r="K47" s="110" t="str">
        <f t="shared" si="19"/>
        <v/>
      </c>
      <c r="L47" s="100" t="str">
        <f t="shared" si="20"/>
        <v/>
      </c>
    </row>
    <row r="48" spans="2:12" x14ac:dyDescent="0.25">
      <c r="B48" s="8"/>
      <c r="C48" s="8">
        <v>42</v>
      </c>
      <c r="D48" s="8"/>
      <c r="E48" s="8">
        <v>42</v>
      </c>
      <c r="F48" s="18" t="s">
        <v>70</v>
      </c>
      <c r="G48" s="79"/>
      <c r="H48" s="79">
        <v>0</v>
      </c>
      <c r="I48" s="81"/>
      <c r="J48" s="80">
        <v>0</v>
      </c>
      <c r="K48" s="100" t="str">
        <f t="shared" si="19"/>
        <v/>
      </c>
      <c r="L48" s="100" t="str">
        <f t="shared" si="20"/>
        <v/>
      </c>
    </row>
    <row r="49" spans="1:12" x14ac:dyDescent="0.25">
      <c r="B49" s="55"/>
      <c r="C49" s="55"/>
      <c r="D49" s="55"/>
      <c r="E49" s="55"/>
      <c r="F49" s="55" t="s">
        <v>184</v>
      </c>
      <c r="G49" s="73"/>
      <c r="H49" s="73">
        <f>H50+H52</f>
        <v>490345</v>
      </c>
      <c r="I49" s="73">
        <f t="shared" ref="I49:J49" si="24">I50+I52</f>
        <v>0</v>
      </c>
      <c r="J49" s="73">
        <f t="shared" si="24"/>
        <v>490345</v>
      </c>
      <c r="K49" s="92" t="str">
        <f t="shared" ref="K49" si="25">IFERROR(J49/G49*100,"")</f>
        <v/>
      </c>
      <c r="L49" s="127">
        <f t="shared" si="20"/>
        <v>100</v>
      </c>
    </row>
    <row r="50" spans="1:12" x14ac:dyDescent="0.25">
      <c r="B50" s="76">
        <v>3</v>
      </c>
      <c r="C50" s="76"/>
      <c r="D50" s="76">
        <v>3</v>
      </c>
      <c r="E50" s="76"/>
      <c r="F50" s="76" t="s">
        <v>3</v>
      </c>
      <c r="G50" s="79"/>
      <c r="H50" s="182">
        <f>H51</f>
        <v>417345</v>
      </c>
      <c r="I50" s="182">
        <f t="shared" ref="I50:J50" si="26">I51</f>
        <v>0</v>
      </c>
      <c r="J50" s="182">
        <f t="shared" si="26"/>
        <v>417345</v>
      </c>
      <c r="K50" s="100"/>
      <c r="L50" s="100">
        <f t="shared" si="20"/>
        <v>100</v>
      </c>
    </row>
    <row r="51" spans="1:12" x14ac:dyDescent="0.25">
      <c r="B51" s="8"/>
      <c r="C51" s="6">
        <v>32</v>
      </c>
      <c r="D51" s="7"/>
      <c r="E51" s="6">
        <v>32</v>
      </c>
      <c r="F51" s="6" t="s">
        <v>9</v>
      </c>
      <c r="G51" s="79"/>
      <c r="H51" s="79">
        <v>417345</v>
      </c>
      <c r="I51" s="81"/>
      <c r="J51" s="80">
        <v>417345</v>
      </c>
      <c r="K51" s="100"/>
      <c r="L51" s="100">
        <f t="shared" si="20"/>
        <v>100</v>
      </c>
    </row>
    <row r="52" spans="1:12" x14ac:dyDescent="0.25">
      <c r="B52" s="82">
        <v>4</v>
      </c>
      <c r="C52" s="82"/>
      <c r="D52" s="82">
        <v>4</v>
      </c>
      <c r="E52" s="82"/>
      <c r="F52" s="83" t="s">
        <v>5</v>
      </c>
      <c r="G52" s="79"/>
      <c r="H52" s="77">
        <f>SUM(H53)</f>
        <v>73000</v>
      </c>
      <c r="I52" s="77">
        <f t="shared" ref="I52" si="27">SUM(I53)</f>
        <v>0</v>
      </c>
      <c r="J52" s="77">
        <f t="shared" ref="J52" si="28">SUM(J53)</f>
        <v>73000</v>
      </c>
      <c r="K52" s="100"/>
      <c r="L52" s="100">
        <f t="shared" si="20"/>
        <v>100</v>
      </c>
    </row>
    <row r="53" spans="1:12" x14ac:dyDescent="0.25">
      <c r="B53" s="8"/>
      <c r="C53" s="8">
        <v>42</v>
      </c>
      <c r="D53" s="8"/>
      <c r="E53" s="8">
        <v>42</v>
      </c>
      <c r="F53" s="18" t="s">
        <v>70</v>
      </c>
      <c r="G53" s="79"/>
      <c r="H53" s="79">
        <v>73000</v>
      </c>
      <c r="I53" s="81"/>
      <c r="J53" s="80">
        <v>73000</v>
      </c>
      <c r="K53" s="100"/>
      <c r="L53" s="100">
        <f t="shared" si="20"/>
        <v>100</v>
      </c>
    </row>
    <row r="54" spans="1:12" x14ac:dyDescent="0.25">
      <c r="B54" s="55"/>
      <c r="C54" s="55"/>
      <c r="D54" s="55"/>
      <c r="E54" s="55"/>
      <c r="F54" s="55" t="s">
        <v>84</v>
      </c>
      <c r="G54" s="73">
        <f>373830.13/7.5345+G59</f>
        <v>50112.116265180171</v>
      </c>
      <c r="H54" s="73">
        <f>H55+H59</f>
        <v>59712.26</v>
      </c>
      <c r="I54" s="73">
        <v>59712.26</v>
      </c>
      <c r="J54" s="57">
        <f>J55+J59</f>
        <v>29567.11</v>
      </c>
      <c r="K54" s="92">
        <f t="shared" si="19"/>
        <v>59.0019185051747</v>
      </c>
      <c r="L54" s="127">
        <f t="shared" si="20"/>
        <v>49.515978795644308</v>
      </c>
    </row>
    <row r="55" spans="1:12" x14ac:dyDescent="0.25">
      <c r="A55" s="101"/>
      <c r="B55" s="76">
        <v>3</v>
      </c>
      <c r="C55" s="76"/>
      <c r="D55" s="76">
        <v>3</v>
      </c>
      <c r="E55" s="76"/>
      <c r="F55" s="76" t="s">
        <v>3</v>
      </c>
      <c r="G55" s="77">
        <f>SUM(G56:G58)</f>
        <v>49615.784723604738</v>
      </c>
      <c r="H55" s="77">
        <f>SUM(H56:H58)</f>
        <v>59712.26</v>
      </c>
      <c r="I55" s="77">
        <f t="shared" ref="I55:J55" si="29">SUM(I56:I58)</f>
        <v>0</v>
      </c>
      <c r="J55" s="77">
        <f t="shared" si="29"/>
        <v>29567.11</v>
      </c>
      <c r="K55" s="110">
        <f t="shared" si="19"/>
        <v>59.592144243429516</v>
      </c>
      <c r="L55" s="100">
        <f t="shared" si="20"/>
        <v>49.515978795644308</v>
      </c>
    </row>
    <row r="56" spans="1:12" x14ac:dyDescent="0.25">
      <c r="A56" s="101"/>
      <c r="B56" s="5"/>
      <c r="C56" s="8">
        <v>31</v>
      </c>
      <c r="D56" s="5"/>
      <c r="E56" s="8">
        <v>31</v>
      </c>
      <c r="F56" s="8" t="s">
        <v>4</v>
      </c>
      <c r="G56" s="33">
        <f>(190335.27+6311.27+31405.34)/7.5345</f>
        <v>30267.685977835285</v>
      </c>
      <c r="H56" s="33">
        <v>38542.97</v>
      </c>
      <c r="I56" s="33"/>
      <c r="J56" s="69">
        <v>28691.22</v>
      </c>
      <c r="K56" s="133"/>
      <c r="L56" s="100">
        <f t="shared" si="20"/>
        <v>74.439567059829585</v>
      </c>
    </row>
    <row r="57" spans="1:12" x14ac:dyDescent="0.25">
      <c r="A57" s="101"/>
      <c r="B57" s="5"/>
      <c r="C57" s="8">
        <v>32</v>
      </c>
      <c r="D57" s="5"/>
      <c r="E57" s="8">
        <v>32</v>
      </c>
      <c r="F57" s="8" t="s">
        <v>9</v>
      </c>
      <c r="G57" s="33">
        <f>(18875.87+35049.55+69014.71+1501.99+19673.69)/7.5345</f>
        <v>19127.455040148649</v>
      </c>
      <c r="H57" s="33">
        <v>21169.29</v>
      </c>
      <c r="I57" s="33"/>
      <c r="J57" s="69">
        <v>572.11</v>
      </c>
      <c r="K57" s="133"/>
      <c r="L57" s="100">
        <f t="shared" si="20"/>
        <v>2.7025469441818788</v>
      </c>
    </row>
    <row r="58" spans="1:12" x14ac:dyDescent="0.25">
      <c r="A58" s="101"/>
      <c r="B58" s="5"/>
      <c r="C58" s="8">
        <v>34</v>
      </c>
      <c r="D58" s="5"/>
      <c r="E58" s="8">
        <v>34</v>
      </c>
      <c r="F58" s="8" t="s">
        <v>83</v>
      </c>
      <c r="G58" s="33">
        <f>1662.44/7.5345</f>
        <v>220.64370562081092</v>
      </c>
      <c r="H58" s="33"/>
      <c r="I58" s="33"/>
      <c r="J58" s="69">
        <v>303.77999999999997</v>
      </c>
      <c r="K58" s="133"/>
      <c r="L58" s="100" t="str">
        <f t="shared" si="20"/>
        <v/>
      </c>
    </row>
    <row r="59" spans="1:12" x14ac:dyDescent="0.25">
      <c r="A59" s="101"/>
      <c r="B59" s="129">
        <v>4</v>
      </c>
      <c r="C59" s="117"/>
      <c r="D59" s="129">
        <v>4</v>
      </c>
      <c r="E59" s="117"/>
      <c r="F59" s="129" t="s">
        <v>5</v>
      </c>
      <c r="G59" s="134">
        <f>SUM(G60)</f>
        <v>496.33154157541975</v>
      </c>
      <c r="H59" s="134"/>
      <c r="I59" s="118"/>
      <c r="J59" s="135"/>
      <c r="K59" s="136"/>
      <c r="L59" s="100" t="str">
        <f t="shared" si="20"/>
        <v/>
      </c>
    </row>
    <row r="60" spans="1:12" x14ac:dyDescent="0.25">
      <c r="A60" s="101"/>
      <c r="B60" s="6"/>
      <c r="C60" s="6">
        <v>42</v>
      </c>
      <c r="D60" s="7"/>
      <c r="E60" s="6">
        <v>42</v>
      </c>
      <c r="F60" s="6" t="s">
        <v>70</v>
      </c>
      <c r="G60" s="79">
        <f>3739.61/7.5345</f>
        <v>496.33154157541975</v>
      </c>
      <c r="H60" s="79"/>
      <c r="I60" s="79"/>
      <c r="J60" s="80"/>
      <c r="K60" s="100">
        <f t="shared" si="19"/>
        <v>0</v>
      </c>
      <c r="L60" s="100" t="str">
        <f t="shared" si="20"/>
        <v/>
      </c>
    </row>
    <row r="61" spans="1:12" x14ac:dyDescent="0.25">
      <c r="A61" s="101"/>
      <c r="B61" s="84"/>
      <c r="C61" s="56"/>
      <c r="D61" s="56"/>
      <c r="E61" s="56"/>
      <c r="F61" s="85" t="s">
        <v>85</v>
      </c>
      <c r="G61" s="187">
        <f>G62</f>
        <v>7976.0249518879818</v>
      </c>
      <c r="H61" s="109">
        <f>H62+H64</f>
        <v>37768.050000000003</v>
      </c>
      <c r="I61" s="109">
        <f t="shared" ref="I61:J61" si="30">I62+I64</f>
        <v>0</v>
      </c>
      <c r="J61" s="109">
        <f t="shared" si="30"/>
        <v>37768.050000000003</v>
      </c>
      <c r="K61" s="111">
        <f t="shared" si="19"/>
        <v>473.51970722032456</v>
      </c>
      <c r="L61" s="127">
        <f t="shared" si="20"/>
        <v>100</v>
      </c>
    </row>
    <row r="62" spans="1:12" x14ac:dyDescent="0.25">
      <c r="A62" s="101"/>
      <c r="B62" s="76">
        <v>3</v>
      </c>
      <c r="C62" s="76"/>
      <c r="D62" s="76">
        <v>3</v>
      </c>
      <c r="E62" s="76"/>
      <c r="F62" s="76" t="s">
        <v>3</v>
      </c>
      <c r="G62" s="77">
        <f>G63</f>
        <v>7976.0249518879818</v>
      </c>
      <c r="H62" s="77">
        <f>H63</f>
        <v>35580.550000000003</v>
      </c>
      <c r="I62" s="77">
        <f t="shared" ref="I62:J62" si="31">I63</f>
        <v>0</v>
      </c>
      <c r="J62" s="77">
        <f t="shared" si="31"/>
        <v>35575.39</v>
      </c>
      <c r="K62" s="110">
        <f t="shared" si="19"/>
        <v>446.02907105473702</v>
      </c>
      <c r="L62" s="100">
        <f t="shared" si="20"/>
        <v>99.985497694667444</v>
      </c>
    </row>
    <row r="63" spans="1:12" x14ac:dyDescent="0.25">
      <c r="A63" s="101"/>
      <c r="B63" s="6"/>
      <c r="C63" s="6">
        <v>32</v>
      </c>
      <c r="D63" s="7"/>
      <c r="E63" s="6">
        <v>32</v>
      </c>
      <c r="F63" s="6" t="s">
        <v>9</v>
      </c>
      <c r="G63" s="186">
        <f>60095.36/7.5345</f>
        <v>7976.0249518879818</v>
      </c>
      <c r="H63" s="79">
        <v>35580.550000000003</v>
      </c>
      <c r="I63" s="79"/>
      <c r="J63" s="80">
        <v>35575.39</v>
      </c>
      <c r="K63" s="100">
        <f t="shared" si="19"/>
        <v>446.02907105473702</v>
      </c>
      <c r="L63" s="100">
        <f t="shared" si="20"/>
        <v>99.985497694667444</v>
      </c>
    </row>
    <row r="64" spans="1:12" x14ac:dyDescent="0.25">
      <c r="A64" s="101"/>
      <c r="B64" s="129">
        <v>4</v>
      </c>
      <c r="C64" s="117"/>
      <c r="D64" s="129">
        <v>4</v>
      </c>
      <c r="E64" s="117"/>
      <c r="F64" s="129" t="s">
        <v>5</v>
      </c>
      <c r="G64" s="78"/>
      <c r="H64" s="182">
        <f>SUM(H65)</f>
        <v>2187.5</v>
      </c>
      <c r="I64" s="182">
        <f t="shared" ref="I64:J64" si="32">SUM(I65)</f>
        <v>0</v>
      </c>
      <c r="J64" s="182">
        <f t="shared" si="32"/>
        <v>2192.66</v>
      </c>
      <c r="K64" s="100"/>
      <c r="L64" s="100">
        <f t="shared" si="20"/>
        <v>100.2358857142857</v>
      </c>
    </row>
    <row r="65" spans="1:12" x14ac:dyDescent="0.25">
      <c r="A65" s="101"/>
      <c r="B65" s="6"/>
      <c r="C65" s="6">
        <v>42</v>
      </c>
      <c r="D65" s="7"/>
      <c r="E65" s="6">
        <v>42</v>
      </c>
      <c r="F65" s="6" t="s">
        <v>70</v>
      </c>
      <c r="G65" s="78"/>
      <c r="H65" s="79">
        <v>2187.5</v>
      </c>
      <c r="I65" s="79"/>
      <c r="J65" s="80">
        <v>2192.66</v>
      </c>
      <c r="K65" s="100"/>
      <c r="L65" s="100">
        <f t="shared" si="20"/>
        <v>100.2358857142857</v>
      </c>
    </row>
    <row r="66" spans="1:12" ht="25.5" x14ac:dyDescent="0.25">
      <c r="B66" s="55"/>
      <c r="C66" s="55"/>
      <c r="D66" s="55"/>
      <c r="E66" s="55"/>
      <c r="F66" s="86" t="s">
        <v>86</v>
      </c>
      <c r="G66" s="73">
        <f>G67+G70</f>
        <v>251483.27127612979</v>
      </c>
      <c r="H66" s="73">
        <f>H67+H70</f>
        <v>247174.26</v>
      </c>
      <c r="I66" s="73">
        <v>247174.26</v>
      </c>
      <c r="J66" s="73">
        <f t="shared" ref="J66" si="33">J67+J70</f>
        <v>247174.26</v>
      </c>
      <c r="K66" s="92">
        <f t="shared" si="19"/>
        <v>98.286561466190548</v>
      </c>
      <c r="L66" s="127">
        <f t="shared" si="20"/>
        <v>100</v>
      </c>
    </row>
    <row r="67" spans="1:12" x14ac:dyDescent="0.25">
      <c r="B67" s="76">
        <v>3</v>
      </c>
      <c r="C67" s="76"/>
      <c r="D67" s="76">
        <v>3</v>
      </c>
      <c r="E67" s="76"/>
      <c r="F67" s="76" t="s">
        <v>3</v>
      </c>
      <c r="G67" s="77">
        <f>SUM(G68:G69)</f>
        <v>247791.18819165172</v>
      </c>
      <c r="H67" s="70">
        <f t="shared" ref="H67:I67" si="34">SUM(H68:H69)</f>
        <v>247174.26</v>
      </c>
      <c r="I67" s="70">
        <f t="shared" si="34"/>
        <v>0</v>
      </c>
      <c r="J67" s="70">
        <f>SUM(J68:J69)</f>
        <v>247174.26</v>
      </c>
      <c r="K67" s="110">
        <f t="shared" si="19"/>
        <v>99.751029003027114</v>
      </c>
      <c r="L67" s="100">
        <f t="shared" si="20"/>
        <v>100</v>
      </c>
    </row>
    <row r="68" spans="1:12" x14ac:dyDescent="0.25">
      <c r="B68" s="6"/>
      <c r="C68" s="6">
        <v>32</v>
      </c>
      <c r="D68" s="7"/>
      <c r="E68" s="6">
        <v>32</v>
      </c>
      <c r="F68" s="6" t="s">
        <v>9</v>
      </c>
      <c r="G68" s="79">
        <f>1866982.71/7.5345-929.06</f>
        <v>246862.12853274934</v>
      </c>
      <c r="H68" s="79">
        <v>245847.03</v>
      </c>
      <c r="I68" s="79"/>
      <c r="J68" s="80">
        <v>245847.03</v>
      </c>
      <c r="K68" s="100">
        <f t="shared" si="19"/>
        <v>99.588799408486565</v>
      </c>
      <c r="L68" s="100">
        <f t="shared" si="20"/>
        <v>100</v>
      </c>
    </row>
    <row r="69" spans="1:12" x14ac:dyDescent="0.25">
      <c r="B69" s="6"/>
      <c r="C69" s="6">
        <v>34</v>
      </c>
      <c r="D69" s="7"/>
      <c r="E69" s="6">
        <v>34</v>
      </c>
      <c r="F69" s="6" t="s">
        <v>83</v>
      </c>
      <c r="G69" s="79">
        <f>7000/7.5345</f>
        <v>929.05965890238235</v>
      </c>
      <c r="H69" s="79">
        <v>1327.23</v>
      </c>
      <c r="I69" s="79"/>
      <c r="J69" s="80">
        <v>1327.23</v>
      </c>
      <c r="K69" s="100">
        <f t="shared" si="19"/>
        <v>142.85734907142859</v>
      </c>
      <c r="L69" s="100">
        <f t="shared" si="20"/>
        <v>100</v>
      </c>
    </row>
    <row r="70" spans="1:12" x14ac:dyDescent="0.25">
      <c r="B70" s="115">
        <v>4</v>
      </c>
      <c r="C70" s="114"/>
      <c r="D70" s="115">
        <v>4</v>
      </c>
      <c r="E70" s="114"/>
      <c r="F70" s="115" t="s">
        <v>5</v>
      </c>
      <c r="G70" s="130">
        <f>G71</f>
        <v>3692.0830844780676</v>
      </c>
      <c r="H70" s="131"/>
      <c r="I70" s="130"/>
      <c r="J70" s="144"/>
      <c r="K70" s="132"/>
      <c r="L70" s="100" t="str">
        <f t="shared" si="20"/>
        <v/>
      </c>
    </row>
    <row r="71" spans="1:12" x14ac:dyDescent="0.25">
      <c r="B71" s="6"/>
      <c r="C71" s="6">
        <v>42</v>
      </c>
      <c r="D71" s="7"/>
      <c r="E71" s="6">
        <v>42</v>
      </c>
      <c r="F71" s="6" t="s">
        <v>70</v>
      </c>
      <c r="G71" s="79">
        <f>27818/7.5345</f>
        <v>3692.0830844780676</v>
      </c>
      <c r="H71" s="79"/>
      <c r="I71" s="79"/>
      <c r="J71" s="80"/>
      <c r="K71" s="100"/>
      <c r="L71" s="100" t="str">
        <f t="shared" si="20"/>
        <v/>
      </c>
    </row>
    <row r="72" spans="1:12" x14ac:dyDescent="0.25">
      <c r="B72" s="55"/>
      <c r="C72" s="55"/>
      <c r="D72" s="55"/>
      <c r="E72" s="55"/>
      <c r="F72" s="86" t="s">
        <v>87</v>
      </c>
      <c r="G72" s="73">
        <f>G73</f>
        <v>5997.7437122569509</v>
      </c>
      <c r="H72" s="73">
        <f>H73</f>
        <v>19660.02</v>
      </c>
      <c r="I72" s="73">
        <v>3981.68</v>
      </c>
      <c r="J72" s="73">
        <f t="shared" ref="J72" si="35">J73</f>
        <v>2932.4</v>
      </c>
      <c r="K72" s="92">
        <f t="shared" si="19"/>
        <v>48.891718964372657</v>
      </c>
      <c r="L72" s="127">
        <f t="shared" si="20"/>
        <v>14.915549424669965</v>
      </c>
    </row>
    <row r="73" spans="1:12" x14ac:dyDescent="0.25">
      <c r="B73" s="76">
        <v>3</v>
      </c>
      <c r="C73" s="76"/>
      <c r="D73" s="76">
        <v>3</v>
      </c>
      <c r="E73" s="76"/>
      <c r="F73" s="76" t="s">
        <v>3</v>
      </c>
      <c r="G73" s="77">
        <f>SUM(G74:G75)</f>
        <v>5997.7437122569509</v>
      </c>
      <c r="H73" s="77">
        <f>SUM(H74:H75)</f>
        <v>19660.02</v>
      </c>
      <c r="I73" s="77">
        <f t="shared" ref="I73:J73" si="36">SUM(I74:I75)</f>
        <v>0</v>
      </c>
      <c r="J73" s="77">
        <f t="shared" si="36"/>
        <v>2932.4</v>
      </c>
      <c r="K73" s="110">
        <f t="shared" si="19"/>
        <v>48.891718964372657</v>
      </c>
      <c r="L73" s="100">
        <f t="shared" si="20"/>
        <v>14.915549424669965</v>
      </c>
    </row>
    <row r="74" spans="1:12" x14ac:dyDescent="0.25">
      <c r="B74" s="6"/>
      <c r="C74" s="6">
        <v>31</v>
      </c>
      <c r="D74" s="7"/>
      <c r="E74" s="6">
        <v>31</v>
      </c>
      <c r="F74" s="6" t="s">
        <v>4</v>
      </c>
      <c r="G74" s="79"/>
      <c r="H74" s="79"/>
      <c r="I74" s="79"/>
      <c r="J74" s="80"/>
      <c r="K74" s="100" t="str">
        <f t="shared" si="19"/>
        <v/>
      </c>
      <c r="L74" s="100" t="str">
        <f t="shared" si="20"/>
        <v/>
      </c>
    </row>
    <row r="75" spans="1:12" x14ac:dyDescent="0.25">
      <c r="B75" s="6"/>
      <c r="C75" s="6">
        <v>32</v>
      </c>
      <c r="D75" s="7"/>
      <c r="E75" s="6">
        <v>32</v>
      </c>
      <c r="F75" s="6" t="s">
        <v>9</v>
      </c>
      <c r="G75" s="79">
        <f>45190/7.5345</f>
        <v>5997.7437122569509</v>
      </c>
      <c r="H75" s="79">
        <v>19660.02</v>
      </c>
      <c r="I75" s="79"/>
      <c r="J75" s="80">
        <v>2932.4</v>
      </c>
      <c r="K75" s="100">
        <f t="shared" si="19"/>
        <v>48.891718964372657</v>
      </c>
      <c r="L75" s="100">
        <f t="shared" si="20"/>
        <v>14.915549424669965</v>
      </c>
    </row>
    <row r="76" spans="1:12" x14ac:dyDescent="0.25">
      <c r="B76" s="55"/>
      <c r="C76" s="55"/>
      <c r="D76" s="55"/>
      <c r="E76" s="55"/>
      <c r="F76" s="86" t="s">
        <v>183</v>
      </c>
      <c r="G76" s="73">
        <f>G77</f>
        <v>18227.279202999533</v>
      </c>
      <c r="H76" s="73">
        <f>H77</f>
        <v>39822.559999999998</v>
      </c>
      <c r="I76" s="59"/>
      <c r="J76" s="73">
        <f>J77</f>
        <v>39815.299999999996</v>
      </c>
      <c r="K76" s="92">
        <f t="shared" ref="K76" si="37">IFERROR(J76/G76*100,"")</f>
        <v>218.43797725690118</v>
      </c>
      <c r="L76" s="127">
        <f t="shared" si="20"/>
        <v>99.981769127851138</v>
      </c>
    </row>
    <row r="77" spans="1:12" x14ac:dyDescent="0.25">
      <c r="B77" s="76">
        <v>3</v>
      </c>
      <c r="C77" s="76"/>
      <c r="D77" s="76">
        <v>3</v>
      </c>
      <c r="E77" s="76"/>
      <c r="F77" s="76" t="s">
        <v>3</v>
      </c>
      <c r="G77" s="79">
        <f>G78+G79</f>
        <v>18227.279202999533</v>
      </c>
      <c r="H77" s="182">
        <f>SUM(H78:H79)</f>
        <v>39822.559999999998</v>
      </c>
      <c r="I77" s="79"/>
      <c r="J77" s="182">
        <f>SUM(J78:J79)</f>
        <v>39815.299999999996</v>
      </c>
      <c r="K77" s="100"/>
      <c r="L77" s="100">
        <f t="shared" si="20"/>
        <v>99.981769127851138</v>
      </c>
    </row>
    <row r="78" spans="1:12" x14ac:dyDescent="0.25">
      <c r="B78" s="6"/>
      <c r="C78" s="6">
        <v>31</v>
      </c>
      <c r="D78" s="7"/>
      <c r="E78" s="6">
        <v>31</v>
      </c>
      <c r="F78" s="6" t="s">
        <v>4</v>
      </c>
      <c r="G78" s="79">
        <f>357976.88/7.5345-16427.45-15354.76</f>
        <v>15729.486861105577</v>
      </c>
      <c r="H78" s="79">
        <f>27081.8+10334.72</f>
        <v>37416.519999999997</v>
      </c>
      <c r="I78" s="79"/>
      <c r="J78" s="79">
        <f>27081.8+10327.46</f>
        <v>37409.259999999995</v>
      </c>
      <c r="K78" s="100"/>
      <c r="L78" s="100">
        <f t="shared" si="20"/>
        <v>99.980596805902849</v>
      </c>
    </row>
    <row r="79" spans="1:12" x14ac:dyDescent="0.25">
      <c r="B79" s="6"/>
      <c r="C79" s="6">
        <v>32</v>
      </c>
      <c r="D79" s="7"/>
      <c r="E79" s="6">
        <v>32</v>
      </c>
      <c r="F79" s="6" t="s">
        <v>9</v>
      </c>
      <c r="G79" s="79">
        <f>23708/7.5345-648.8</f>
        <v>2497.7923418939545</v>
      </c>
      <c r="H79" s="79">
        <f>2406.04</f>
        <v>2406.04</v>
      </c>
      <c r="I79" s="79"/>
      <c r="J79" s="79">
        <f>2406.04</f>
        <v>2406.04</v>
      </c>
      <c r="K79" s="100"/>
      <c r="L79" s="100">
        <f t="shared" si="20"/>
        <v>100</v>
      </c>
    </row>
    <row r="80" spans="1:12" x14ac:dyDescent="0.25">
      <c r="B80" s="55"/>
      <c r="C80" s="55"/>
      <c r="D80" s="55"/>
      <c r="E80" s="55"/>
      <c r="F80" s="55" t="s">
        <v>88</v>
      </c>
      <c r="G80" s="73">
        <f>G81+G89</f>
        <v>1962385.0408122633</v>
      </c>
      <c r="H80" s="57">
        <f t="shared" ref="H80" si="38">H81+H89</f>
        <v>2849848.7</v>
      </c>
      <c r="I80" s="57">
        <v>2373503.17</v>
      </c>
      <c r="J80" s="57">
        <f>J81+J89</f>
        <v>2645805.5999999996</v>
      </c>
      <c r="K80" s="92">
        <f t="shared" si="19"/>
        <v>134.82601757425024</v>
      </c>
      <c r="L80" s="127">
        <f t="shared" si="20"/>
        <v>92.840212885687549</v>
      </c>
    </row>
    <row r="81" spans="2:12" x14ac:dyDescent="0.25">
      <c r="B81" s="76">
        <v>3</v>
      </c>
      <c r="C81" s="76"/>
      <c r="D81" s="76">
        <v>3</v>
      </c>
      <c r="E81" s="76"/>
      <c r="F81" s="76" t="s">
        <v>3</v>
      </c>
      <c r="G81" s="77">
        <f>SUM(G82:G88)</f>
        <v>1961235.7674696394</v>
      </c>
      <c r="H81" s="70">
        <f t="shared" ref="H81:I81" si="39">SUM(H82:H88)</f>
        <v>2538817.6</v>
      </c>
      <c r="I81" s="70">
        <f t="shared" si="39"/>
        <v>0</v>
      </c>
      <c r="J81" s="70">
        <f>SUM(J82:J88)</f>
        <v>2329667.6499999994</v>
      </c>
      <c r="K81" s="110">
        <f t="shared" si="19"/>
        <v>118.78570076282597</v>
      </c>
      <c r="L81" s="100">
        <f t="shared" si="20"/>
        <v>91.761915074166794</v>
      </c>
    </row>
    <row r="82" spans="2:12" x14ac:dyDescent="0.25">
      <c r="B82" s="5"/>
      <c r="C82" s="8">
        <v>31</v>
      </c>
      <c r="D82" s="8"/>
      <c r="E82" s="8">
        <v>31</v>
      </c>
      <c r="F82" s="8" t="s">
        <v>4</v>
      </c>
      <c r="G82" s="79">
        <f>(11025644.67+470370.52+1819973.06)/7.5345+(256120.76+4815+42262.65)/7.5345+2000/7.5345+3000/7.5345</f>
        <v>1808240.3158802839</v>
      </c>
      <c r="H82" s="79">
        <f>69799.94+1194.89+2107441.92</f>
        <v>2178436.75</v>
      </c>
      <c r="I82" s="79"/>
      <c r="J82" s="80">
        <f>47820.39+530.89+2099184.26</f>
        <v>2147535.5399999996</v>
      </c>
      <c r="K82" s="100">
        <f t="shared" si="19"/>
        <v>118.76383471488636</v>
      </c>
      <c r="L82" s="100">
        <f t="shared" si="20"/>
        <v>98.581496111833388</v>
      </c>
    </row>
    <row r="83" spans="2:12" x14ac:dyDescent="0.25">
      <c r="B83" s="6"/>
      <c r="C83" s="6">
        <v>32</v>
      </c>
      <c r="D83" s="7"/>
      <c r="E83" s="7">
        <v>32</v>
      </c>
      <c r="F83" s="6" t="s">
        <v>9</v>
      </c>
      <c r="G83" s="79">
        <f>(7539+13621+489+97333.4)/7.5345+(2074.89+1662.76+402054.79+1563.98)/7.5345+147000/7.5345</f>
        <v>89367.41920499038</v>
      </c>
      <c r="H83" s="79">
        <f>208448.95+132.72+9679.39</f>
        <v>218261.06</v>
      </c>
      <c r="I83" s="79"/>
      <c r="J83" s="80">
        <f>104935.76+132.72+10054.84</f>
        <v>115123.31999999999</v>
      </c>
      <c r="K83" s="100">
        <f t="shared" si="19"/>
        <v>128.82023563411954</v>
      </c>
      <c r="L83" s="100">
        <f t="shared" si="20"/>
        <v>52.745698201960536</v>
      </c>
    </row>
    <row r="84" spans="2:12" x14ac:dyDescent="0.25">
      <c r="B84" s="6"/>
      <c r="C84" s="6">
        <v>34</v>
      </c>
      <c r="D84" s="7"/>
      <c r="E84" s="6">
        <v>34</v>
      </c>
      <c r="F84" s="6" t="s">
        <v>83</v>
      </c>
      <c r="G84" s="79">
        <f>42405.93/7.5345</f>
        <v>5628.2341230340435</v>
      </c>
      <c r="H84" s="79">
        <v>2654.46</v>
      </c>
      <c r="I84" s="79"/>
      <c r="J84" s="80">
        <v>1530.59</v>
      </c>
      <c r="K84" s="100">
        <f t="shared" si="19"/>
        <v>27.19485306654046</v>
      </c>
      <c r="L84" s="100">
        <f t="shared" si="20"/>
        <v>57.661068541247559</v>
      </c>
    </row>
    <row r="85" spans="2:12" x14ac:dyDescent="0.25">
      <c r="B85" s="6"/>
      <c r="C85" s="6">
        <v>35</v>
      </c>
      <c r="D85" s="7"/>
      <c r="E85" s="6">
        <v>35</v>
      </c>
      <c r="F85" s="6" t="s">
        <v>159</v>
      </c>
      <c r="G85" s="79">
        <f>38789.02/7.5345</f>
        <v>5148.1876700510975</v>
      </c>
      <c r="H85" s="79">
        <v>6403.56</v>
      </c>
      <c r="I85" s="79"/>
      <c r="J85" s="80">
        <f>5595.91</f>
        <v>5595.91</v>
      </c>
      <c r="K85" s="100">
        <f t="shared" si="19"/>
        <v>108.69669791863781</v>
      </c>
      <c r="L85" s="100">
        <f t="shared" si="20"/>
        <v>87.387484461768139</v>
      </c>
    </row>
    <row r="86" spans="2:12" x14ac:dyDescent="0.25">
      <c r="B86" s="6"/>
      <c r="C86" s="6">
        <v>36</v>
      </c>
      <c r="D86" s="7"/>
      <c r="E86" s="6">
        <v>36</v>
      </c>
      <c r="F86" s="6" t="s">
        <v>179</v>
      </c>
      <c r="G86" s="79">
        <f>(62577.14+246285.51)/7.5345</f>
        <v>40993.1183223837</v>
      </c>
      <c r="H86" s="79">
        <f>116882.67</f>
        <v>116882.67</v>
      </c>
      <c r="I86" s="79"/>
      <c r="J86" s="80">
        <f>46642.49</f>
        <v>46642.49</v>
      </c>
      <c r="K86" s="100">
        <f t="shared" si="19"/>
        <v>113.78126843922371</v>
      </c>
      <c r="L86" s="100">
        <f t="shared" si="20"/>
        <v>39.905394016067561</v>
      </c>
    </row>
    <row r="87" spans="2:12" x14ac:dyDescent="0.25">
      <c r="B87" s="6"/>
      <c r="C87" s="6">
        <v>37</v>
      </c>
      <c r="D87" s="7"/>
      <c r="E87" s="6">
        <v>37</v>
      </c>
      <c r="F87" s="6" t="s">
        <v>110</v>
      </c>
      <c r="G87" s="79"/>
      <c r="H87" s="79"/>
      <c r="I87" s="79"/>
      <c r="J87" s="80"/>
      <c r="K87" s="100" t="str">
        <f t="shared" si="19"/>
        <v/>
      </c>
      <c r="L87" s="100" t="str">
        <f t="shared" si="20"/>
        <v/>
      </c>
    </row>
    <row r="88" spans="2:12" x14ac:dyDescent="0.25">
      <c r="B88" s="6"/>
      <c r="C88" s="6">
        <v>38</v>
      </c>
      <c r="D88" s="7"/>
      <c r="E88" s="6">
        <v>38</v>
      </c>
      <c r="F88" s="6" t="s">
        <v>115</v>
      </c>
      <c r="G88" s="79">
        <f>89347.81/7.5345</f>
        <v>11858.492268896409</v>
      </c>
      <c r="H88" s="79">
        <f>16152.34+26.76</f>
        <v>16179.1</v>
      </c>
      <c r="I88" s="79"/>
      <c r="J88" s="80">
        <f>13213.04+26.76</f>
        <v>13239.800000000001</v>
      </c>
      <c r="K88" s="100">
        <f t="shared" si="19"/>
        <v>111.64825763496611</v>
      </c>
      <c r="L88" s="100">
        <f t="shared" si="20"/>
        <v>81.832734824557619</v>
      </c>
    </row>
    <row r="89" spans="2:12" x14ac:dyDescent="0.25">
      <c r="B89" s="82">
        <v>4</v>
      </c>
      <c r="C89" s="82"/>
      <c r="D89" s="82">
        <v>4</v>
      </c>
      <c r="E89" s="82"/>
      <c r="F89" s="83" t="s">
        <v>5</v>
      </c>
      <c r="G89" s="77">
        <f>G90</f>
        <v>1149.2733426239299</v>
      </c>
      <c r="H89" s="70">
        <f t="shared" ref="H89:I89" si="40">H90</f>
        <v>311031.10000000003</v>
      </c>
      <c r="I89" s="70">
        <f t="shared" si="40"/>
        <v>0</v>
      </c>
      <c r="J89" s="70">
        <f>J90</f>
        <v>316137.95</v>
      </c>
      <c r="K89" s="100">
        <f t="shared" si="19"/>
        <v>27507.637937396066</v>
      </c>
      <c r="L89" s="100">
        <f t="shared" si="20"/>
        <v>101.64190976400751</v>
      </c>
    </row>
    <row r="90" spans="2:12" x14ac:dyDescent="0.25">
      <c r="B90" s="137"/>
      <c r="C90" s="138">
        <v>42</v>
      </c>
      <c r="D90" s="137"/>
      <c r="E90" s="138">
        <v>42</v>
      </c>
      <c r="F90" s="18" t="s">
        <v>70</v>
      </c>
      <c r="G90" s="106">
        <f>8659.2/7.5345</f>
        <v>1149.2733426239299</v>
      </c>
      <c r="H90" s="33">
        <f>310623.82+407.28</f>
        <v>311031.10000000003</v>
      </c>
      <c r="I90" s="33"/>
      <c r="J90" s="145">
        <f>314885.52+1252.43</f>
        <v>316137.95</v>
      </c>
      <c r="K90" s="100">
        <f t="shared" si="19"/>
        <v>27507.637937396066</v>
      </c>
      <c r="L90" s="100">
        <f t="shared" si="20"/>
        <v>101.64190976400751</v>
      </c>
    </row>
    <row r="91" spans="2:12" x14ac:dyDescent="0.25">
      <c r="B91" s="55"/>
      <c r="C91" s="55"/>
      <c r="D91" s="55"/>
      <c r="E91" s="55"/>
      <c r="F91" s="55" t="s">
        <v>180</v>
      </c>
      <c r="G91" s="73"/>
      <c r="H91" s="57">
        <f t="shared" ref="H91:I91" si="41">SUM(H92)</f>
        <v>15669.34</v>
      </c>
      <c r="I91" s="57">
        <f t="shared" si="41"/>
        <v>0</v>
      </c>
      <c r="J91" s="57">
        <f>SUM(J92)</f>
        <v>15669.34</v>
      </c>
      <c r="K91" s="100" t="str">
        <f t="shared" si="19"/>
        <v/>
      </c>
      <c r="L91" s="127">
        <f t="shared" si="20"/>
        <v>100</v>
      </c>
    </row>
    <row r="92" spans="2:12" x14ac:dyDescent="0.25">
      <c r="B92" s="76">
        <v>3</v>
      </c>
      <c r="C92" s="76"/>
      <c r="D92" s="76">
        <v>3</v>
      </c>
      <c r="E92" s="76"/>
      <c r="F92" s="76" t="s">
        <v>3</v>
      </c>
      <c r="G92" s="106"/>
      <c r="H92" s="107">
        <f t="shared" ref="H92:I92" si="42">SUM(H93)</f>
        <v>15669.34</v>
      </c>
      <c r="I92" s="107">
        <f t="shared" si="42"/>
        <v>0</v>
      </c>
      <c r="J92" s="107">
        <f>SUM(J93)</f>
        <v>15669.34</v>
      </c>
      <c r="K92" s="133"/>
      <c r="L92" s="100">
        <f t="shared" si="20"/>
        <v>100</v>
      </c>
    </row>
    <row r="93" spans="2:12" x14ac:dyDescent="0.25">
      <c r="B93" s="6"/>
      <c r="C93" s="6">
        <v>32</v>
      </c>
      <c r="D93" s="7"/>
      <c r="E93" s="7">
        <v>32</v>
      </c>
      <c r="F93" s="6" t="s">
        <v>9</v>
      </c>
      <c r="G93" s="106"/>
      <c r="H93" s="33">
        <v>15669.34</v>
      </c>
      <c r="I93" s="33"/>
      <c r="J93" s="145">
        <v>15669.34</v>
      </c>
      <c r="K93" s="133"/>
      <c r="L93" s="100">
        <f t="shared" si="20"/>
        <v>100</v>
      </c>
    </row>
    <row r="94" spans="2:12" x14ac:dyDescent="0.25">
      <c r="B94" s="139"/>
      <c r="C94" s="139"/>
      <c r="D94" s="139"/>
      <c r="E94" s="139"/>
      <c r="F94" s="140" t="s">
        <v>150</v>
      </c>
      <c r="G94" s="73">
        <f>G95+G103</f>
        <v>995204.86827261269</v>
      </c>
      <c r="H94" s="73">
        <f>H95+H103</f>
        <v>6871346.4700000007</v>
      </c>
      <c r="I94" s="73">
        <f>7660920.08-902466.53</f>
        <v>6758453.5499999998</v>
      </c>
      <c r="J94" s="73">
        <f t="shared" ref="J94" si="43">J95+J103</f>
        <v>3852116.14</v>
      </c>
      <c r="K94" s="92"/>
      <c r="L94" s="127">
        <f t="shared" si="20"/>
        <v>56.060572070090942</v>
      </c>
    </row>
    <row r="95" spans="2:12" x14ac:dyDescent="0.25">
      <c r="B95" s="141">
        <v>3</v>
      </c>
      <c r="C95" s="141"/>
      <c r="D95" s="141">
        <v>3</v>
      </c>
      <c r="E95" s="141"/>
      <c r="F95" s="142" t="s">
        <v>3</v>
      </c>
      <c r="G95" s="134">
        <f>SUM(G96:G102)</f>
        <v>995204.86827261269</v>
      </c>
      <c r="H95" s="134">
        <f>SUM(H96:H102)</f>
        <v>2572118.3000000003</v>
      </c>
      <c r="I95" s="134">
        <f t="shared" ref="I95:J95" si="44">SUM(I96:I102)</f>
        <v>0</v>
      </c>
      <c r="J95" s="134">
        <f t="shared" si="44"/>
        <v>1351985.69</v>
      </c>
      <c r="K95" s="136"/>
      <c r="L95" s="100">
        <f t="shared" si="20"/>
        <v>52.563122388266507</v>
      </c>
    </row>
    <row r="96" spans="2:12" x14ac:dyDescent="0.25">
      <c r="B96" s="5"/>
      <c r="C96" s="8">
        <v>31</v>
      </c>
      <c r="D96" s="8"/>
      <c r="E96" s="8">
        <v>31</v>
      </c>
      <c r="F96" s="8" t="s">
        <v>4</v>
      </c>
      <c r="G96" s="181">
        <f>(1451444.47+27285+239488.34)/7.5345</f>
        <v>228046.69321122835</v>
      </c>
      <c r="H96" s="181">
        <v>395532.98</v>
      </c>
      <c r="I96" s="118"/>
      <c r="J96" s="180">
        <f>270982.25</f>
        <v>270982.25</v>
      </c>
      <c r="K96" s="136"/>
      <c r="L96" s="100">
        <f t="shared" si="20"/>
        <v>68.510658706639333</v>
      </c>
    </row>
    <row r="97" spans="2:12" x14ac:dyDescent="0.25">
      <c r="B97" s="8"/>
      <c r="C97" s="8">
        <v>32</v>
      </c>
      <c r="D97" s="8"/>
      <c r="E97" s="8">
        <v>32</v>
      </c>
      <c r="F97" s="18" t="s">
        <v>148</v>
      </c>
      <c r="G97" s="79">
        <f>(11757.71+9422.28+2278310.46+8862.52)/7.5345+995640/7.5345</f>
        <v>438515.22596058133</v>
      </c>
      <c r="H97" s="79">
        <f>1181210.76+105680.54+99542.1</f>
        <v>1386433.4000000001</v>
      </c>
      <c r="I97" s="81"/>
      <c r="J97" s="80">
        <f>594635.88+84677.99+30798.01</f>
        <v>710111.88</v>
      </c>
      <c r="K97" s="100">
        <f t="shared" ref="K97:K105" si="45">IFERROR(J97/G97*100,"")</f>
        <v>161.93551283070678</v>
      </c>
      <c r="L97" s="100">
        <f t="shared" si="20"/>
        <v>51.218607399388958</v>
      </c>
    </row>
    <row r="98" spans="2:12" x14ac:dyDescent="0.25">
      <c r="B98" s="6"/>
      <c r="C98" s="6">
        <v>34</v>
      </c>
      <c r="D98" s="7"/>
      <c r="E98" s="6">
        <v>34</v>
      </c>
      <c r="F98" s="6" t="s">
        <v>83</v>
      </c>
      <c r="G98" s="79"/>
      <c r="H98" s="79"/>
      <c r="I98" s="81"/>
      <c r="J98" s="80"/>
      <c r="K98" s="100" t="str">
        <f t="shared" si="45"/>
        <v/>
      </c>
      <c r="L98" s="100" t="str">
        <f t="shared" si="20"/>
        <v/>
      </c>
    </row>
    <row r="99" spans="2:12" x14ac:dyDescent="0.25">
      <c r="B99" s="6"/>
      <c r="C99" s="6">
        <v>35</v>
      </c>
      <c r="D99" s="7"/>
      <c r="E99" s="6">
        <v>35</v>
      </c>
      <c r="F99" s="6" t="s">
        <v>159</v>
      </c>
      <c r="G99" s="79">
        <f>219634.42/7.5345</f>
        <v>29150.497046917513</v>
      </c>
      <c r="H99" s="79">
        <v>36286.85</v>
      </c>
      <c r="I99" s="81"/>
      <c r="J99" s="80">
        <v>31710.13</v>
      </c>
      <c r="K99" s="100">
        <f t="shared" si="45"/>
        <v>108.78075234519254</v>
      </c>
      <c r="L99" s="100">
        <f t="shared" si="20"/>
        <v>87.387386890843388</v>
      </c>
    </row>
    <row r="100" spans="2:12" x14ac:dyDescent="0.25">
      <c r="B100" s="6"/>
      <c r="C100" s="6">
        <v>36</v>
      </c>
      <c r="D100" s="7"/>
      <c r="E100" s="6">
        <v>36</v>
      </c>
      <c r="F100" s="6" t="s">
        <v>179</v>
      </c>
      <c r="G100" s="79">
        <f>(354603.79+1395617.9)/7.5345</f>
        <v>232294.338044993</v>
      </c>
      <c r="H100" s="79">
        <v>662335.15</v>
      </c>
      <c r="I100" s="81"/>
      <c r="J100" s="80">
        <v>264307.53999999998</v>
      </c>
      <c r="K100" s="100">
        <f t="shared" si="45"/>
        <v>113.7813096196974</v>
      </c>
      <c r="L100" s="100">
        <f t="shared" si="20"/>
        <v>39.90540740590319</v>
      </c>
    </row>
    <row r="101" spans="2:12" x14ac:dyDescent="0.25">
      <c r="B101" s="6"/>
      <c r="C101" s="6">
        <v>37</v>
      </c>
      <c r="D101" s="7"/>
      <c r="E101" s="6">
        <v>37</v>
      </c>
      <c r="F101" s="6" t="s">
        <v>110</v>
      </c>
      <c r="G101" s="79"/>
      <c r="H101" s="79"/>
      <c r="I101" s="81"/>
      <c r="J101" s="80"/>
      <c r="K101" s="100" t="str">
        <f t="shared" si="45"/>
        <v/>
      </c>
      <c r="L101" s="100" t="str">
        <f t="shared" si="20"/>
        <v/>
      </c>
    </row>
    <row r="102" spans="2:12" x14ac:dyDescent="0.25">
      <c r="B102" s="6"/>
      <c r="C102" s="6">
        <v>38</v>
      </c>
      <c r="D102" s="7"/>
      <c r="E102" s="6">
        <v>38</v>
      </c>
      <c r="F102" s="6" t="s">
        <v>115</v>
      </c>
      <c r="G102" s="79">
        <f>506304.19/7.5345</f>
        <v>67198.114008892429</v>
      </c>
      <c r="H102" s="79">
        <v>91529.919999999998</v>
      </c>
      <c r="I102" s="81"/>
      <c r="J102" s="80">
        <v>74873.89</v>
      </c>
      <c r="K102" s="100">
        <f t="shared" si="45"/>
        <v>111.422606280426</v>
      </c>
      <c r="L102" s="100">
        <f t="shared" si="20"/>
        <v>81.802638962210395</v>
      </c>
    </row>
    <row r="103" spans="2:12" x14ac:dyDescent="0.25">
      <c r="B103" s="82">
        <v>4</v>
      </c>
      <c r="C103" s="82"/>
      <c r="D103" s="82">
        <v>4</v>
      </c>
      <c r="E103" s="82"/>
      <c r="F103" s="83" t="s">
        <v>5</v>
      </c>
      <c r="G103" s="79"/>
      <c r="H103" s="182">
        <f>SUM(H104:H105)</f>
        <v>4299228.17</v>
      </c>
      <c r="I103" s="182">
        <f t="shared" ref="I103" si="46">SUM(I104)</f>
        <v>0</v>
      </c>
      <c r="J103" s="182">
        <f>SUM(J104:J105)</f>
        <v>2500130.4500000002</v>
      </c>
      <c r="K103" s="100" t="str">
        <f t="shared" si="45"/>
        <v/>
      </c>
      <c r="L103" s="100">
        <f t="shared" si="20"/>
        <v>58.15300679889247</v>
      </c>
    </row>
    <row r="104" spans="2:12" x14ac:dyDescent="0.25">
      <c r="B104" s="137"/>
      <c r="C104" s="138">
        <v>42</v>
      </c>
      <c r="D104" s="137"/>
      <c r="E104" s="138">
        <v>42</v>
      </c>
      <c r="F104" s="18" t="s">
        <v>70</v>
      </c>
      <c r="G104" s="79"/>
      <c r="H104" s="79">
        <v>1760201.62</v>
      </c>
      <c r="I104" s="81"/>
      <c r="J104" s="80">
        <f>1784351.28+24940.5</f>
        <v>1809291.78</v>
      </c>
      <c r="K104" s="100" t="str">
        <f t="shared" si="45"/>
        <v/>
      </c>
      <c r="L104" s="100">
        <f t="shared" si="20"/>
        <v>102.78889414952361</v>
      </c>
    </row>
    <row r="105" spans="2:12" x14ac:dyDescent="0.25">
      <c r="B105" s="137"/>
      <c r="C105" s="138">
        <v>45</v>
      </c>
      <c r="D105" s="137"/>
      <c r="E105" s="138">
        <v>45</v>
      </c>
      <c r="F105" s="18" t="s">
        <v>181</v>
      </c>
      <c r="G105" s="79"/>
      <c r="H105" s="79">
        <v>2539026.5499999998</v>
      </c>
      <c r="I105" s="81"/>
      <c r="J105" s="80">
        <v>690838.67</v>
      </c>
      <c r="K105" s="100" t="str">
        <f t="shared" si="45"/>
        <v/>
      </c>
      <c r="L105" s="100">
        <f t="shared" si="20"/>
        <v>27.208800553897323</v>
      </c>
    </row>
    <row r="106" spans="2:12" x14ac:dyDescent="0.25">
      <c r="B106" s="55"/>
      <c r="C106" s="55"/>
      <c r="D106" s="55"/>
      <c r="E106" s="55"/>
      <c r="F106" s="55" t="s">
        <v>91</v>
      </c>
      <c r="G106" s="73">
        <f>G107</f>
        <v>183493.33466056141</v>
      </c>
      <c r="H106" s="57">
        <f t="shared" ref="H106:I106" si="47">H107</f>
        <v>199037.90999999997</v>
      </c>
      <c r="I106" s="57">
        <f t="shared" si="47"/>
        <v>0</v>
      </c>
      <c r="J106" s="57">
        <f>J107</f>
        <v>110245</v>
      </c>
      <c r="K106" s="92">
        <f t="shared" si="19"/>
        <v>60.081201425620598</v>
      </c>
      <c r="L106" s="127">
        <f t="shared" si="20"/>
        <v>55.388945754102835</v>
      </c>
    </row>
    <row r="107" spans="2:12" x14ac:dyDescent="0.25">
      <c r="B107" s="76">
        <v>3</v>
      </c>
      <c r="C107" s="76"/>
      <c r="D107" s="76">
        <v>3</v>
      </c>
      <c r="E107" s="76"/>
      <c r="F107" s="76" t="s">
        <v>3</v>
      </c>
      <c r="G107" s="77">
        <f>SUM(G108)</f>
        <v>183493.33466056141</v>
      </c>
      <c r="H107" s="70">
        <f t="shared" ref="H107:I107" si="48">H108</f>
        <v>199037.90999999997</v>
      </c>
      <c r="I107" s="70">
        <f t="shared" si="48"/>
        <v>0</v>
      </c>
      <c r="J107" s="70">
        <f>J108</f>
        <v>110245</v>
      </c>
      <c r="K107" s="110">
        <f t="shared" si="19"/>
        <v>60.081201425620598</v>
      </c>
      <c r="L107" s="100">
        <f t="shared" si="20"/>
        <v>55.388945754102835</v>
      </c>
    </row>
    <row r="108" spans="2:12" x14ac:dyDescent="0.25">
      <c r="B108" s="6"/>
      <c r="C108" s="6">
        <v>32</v>
      </c>
      <c r="D108" s="7"/>
      <c r="E108" s="7">
        <v>32</v>
      </c>
      <c r="F108" s="6" t="s">
        <v>9</v>
      </c>
      <c r="G108" s="79">
        <f>1316686.56/7.5345+65843.97/7.5345</f>
        <v>183493.33466056141</v>
      </c>
      <c r="H108" s="79">
        <f>88792.91+107430.7+2814.3</f>
        <v>199037.90999999997</v>
      </c>
      <c r="I108" s="79"/>
      <c r="J108" s="80">
        <f>107430.7+2814.3</f>
        <v>110245</v>
      </c>
      <c r="K108" s="100">
        <f t="shared" si="19"/>
        <v>60.081201425620598</v>
      </c>
      <c r="L108" s="100">
        <f t="shared" si="20"/>
        <v>55.388945754102835</v>
      </c>
    </row>
    <row r="109" spans="2:12" x14ac:dyDescent="0.25">
      <c r="B109" s="55"/>
      <c r="C109" s="55"/>
      <c r="D109" s="55"/>
      <c r="E109" s="55"/>
      <c r="F109" s="55" t="s">
        <v>89</v>
      </c>
      <c r="G109" s="73"/>
      <c r="H109" s="73">
        <f>H110</f>
        <v>275</v>
      </c>
      <c r="I109" s="73">
        <f t="shared" ref="I109" si="49">I110</f>
        <v>0</v>
      </c>
      <c r="J109" s="73">
        <f>J110+J112</f>
        <v>3301.08</v>
      </c>
      <c r="K109" s="92" t="str">
        <f>IFERROR(J109/G109*100,"")</f>
        <v/>
      </c>
      <c r="L109" s="127">
        <f t="shared" si="20"/>
        <v>1200.3927272727274</v>
      </c>
    </row>
    <row r="110" spans="2:12" x14ac:dyDescent="0.25">
      <c r="B110" s="76">
        <v>3</v>
      </c>
      <c r="C110" s="76"/>
      <c r="D110" s="76">
        <v>3</v>
      </c>
      <c r="E110" s="76"/>
      <c r="F110" s="76" t="s">
        <v>3</v>
      </c>
      <c r="G110" s="77"/>
      <c r="H110" s="77">
        <f>SUM(H111)</f>
        <v>275</v>
      </c>
      <c r="I110" s="77">
        <f t="shared" ref="I110:J110" si="50">SUM(I111)</f>
        <v>0</v>
      </c>
      <c r="J110" s="77">
        <f t="shared" si="50"/>
        <v>261.85000000000002</v>
      </c>
      <c r="K110" s="110" t="str">
        <f t="shared" si="19"/>
        <v/>
      </c>
      <c r="L110" s="100">
        <f t="shared" si="20"/>
        <v>95.218181818181819</v>
      </c>
    </row>
    <row r="111" spans="2:12" x14ac:dyDescent="0.25">
      <c r="B111" s="5"/>
      <c r="C111" s="8">
        <v>32</v>
      </c>
      <c r="D111" s="8"/>
      <c r="E111" s="8">
        <v>32</v>
      </c>
      <c r="F111" s="8" t="s">
        <v>9</v>
      </c>
      <c r="G111" s="79"/>
      <c r="H111" s="79">
        <v>275</v>
      </c>
      <c r="I111" s="79"/>
      <c r="J111" s="80">
        <v>261.85000000000002</v>
      </c>
      <c r="K111" s="100" t="str">
        <f t="shared" si="19"/>
        <v/>
      </c>
      <c r="L111" s="100">
        <f t="shared" si="20"/>
        <v>95.218181818181819</v>
      </c>
    </row>
    <row r="112" spans="2:12" x14ac:dyDescent="0.25">
      <c r="B112" s="82">
        <v>4</v>
      </c>
      <c r="C112" s="82"/>
      <c r="D112" s="82">
        <v>4</v>
      </c>
      <c r="E112" s="82"/>
      <c r="F112" s="83" t="s">
        <v>5</v>
      </c>
      <c r="G112" s="77"/>
      <c r="H112" s="77"/>
      <c r="I112" s="63"/>
      <c r="J112" s="70">
        <f>SUM(J113)</f>
        <v>3039.23</v>
      </c>
      <c r="K112" s="110" t="str">
        <f t="shared" si="19"/>
        <v/>
      </c>
      <c r="L112" s="100" t="str">
        <f t="shared" si="20"/>
        <v/>
      </c>
    </row>
    <row r="113" spans="2:12" x14ac:dyDescent="0.25">
      <c r="B113" s="8"/>
      <c r="C113" s="8">
        <v>42</v>
      </c>
      <c r="D113" s="8"/>
      <c r="E113" s="8">
        <v>42</v>
      </c>
      <c r="F113" s="18" t="s">
        <v>70</v>
      </c>
      <c r="G113" s="79"/>
      <c r="H113" s="79"/>
      <c r="I113" s="81"/>
      <c r="J113" s="184">
        <v>3039.23</v>
      </c>
      <c r="K113" s="100" t="str">
        <f t="shared" si="19"/>
        <v/>
      </c>
      <c r="L113" s="100" t="str">
        <f t="shared" si="20"/>
        <v/>
      </c>
    </row>
    <row r="114" spans="2:12" x14ac:dyDescent="0.25">
      <c r="B114" s="55"/>
      <c r="C114" s="55"/>
      <c r="D114" s="55"/>
      <c r="E114" s="55"/>
      <c r="F114" s="55" t="s">
        <v>90</v>
      </c>
      <c r="G114" s="73"/>
      <c r="H114" s="73"/>
      <c r="I114" s="59"/>
      <c r="J114" s="57"/>
      <c r="K114" s="92" t="str">
        <f t="shared" si="19"/>
        <v/>
      </c>
      <c r="L114" s="127" t="str">
        <f t="shared" si="20"/>
        <v/>
      </c>
    </row>
    <row r="115" spans="2:12" x14ac:dyDescent="0.25">
      <c r="B115" s="76">
        <v>3</v>
      </c>
      <c r="C115" s="76"/>
      <c r="D115" s="76">
        <v>3</v>
      </c>
      <c r="E115" s="76"/>
      <c r="F115" s="76" t="s">
        <v>3</v>
      </c>
      <c r="G115" s="77"/>
      <c r="H115" s="77"/>
      <c r="I115" s="63"/>
      <c r="J115" s="70"/>
      <c r="K115" s="110" t="str">
        <f t="shared" si="19"/>
        <v/>
      </c>
      <c r="L115" s="100" t="str">
        <f t="shared" si="20"/>
        <v/>
      </c>
    </row>
    <row r="116" spans="2:12" x14ac:dyDescent="0.25">
      <c r="B116" s="5"/>
      <c r="C116" s="5"/>
      <c r="D116" s="5"/>
      <c r="E116" s="8">
        <v>31</v>
      </c>
      <c r="F116" s="8" t="s">
        <v>4</v>
      </c>
      <c r="G116" s="33"/>
      <c r="H116" s="33"/>
      <c r="I116" s="33"/>
      <c r="J116" s="107"/>
      <c r="K116" s="89"/>
      <c r="L116" s="100" t="str">
        <f t="shared" si="20"/>
        <v/>
      </c>
    </row>
    <row r="117" spans="2:12" x14ac:dyDescent="0.25">
      <c r="B117" s="5"/>
      <c r="C117" s="8">
        <v>32</v>
      </c>
      <c r="D117" s="8"/>
      <c r="E117" s="8">
        <v>32</v>
      </c>
      <c r="F117" s="8" t="s">
        <v>9</v>
      </c>
      <c r="G117" s="79"/>
      <c r="H117" s="79"/>
      <c r="I117" s="79"/>
      <c r="J117" s="80"/>
      <c r="K117" s="100" t="str">
        <f t="shared" si="19"/>
        <v/>
      </c>
      <c r="L117" s="100" t="str">
        <f t="shared" si="20"/>
        <v/>
      </c>
    </row>
    <row r="118" spans="2:12" x14ac:dyDescent="0.25">
      <c r="B118" s="55"/>
      <c r="C118" s="125"/>
      <c r="D118" s="125"/>
      <c r="E118" s="125"/>
      <c r="F118" s="55" t="s">
        <v>149</v>
      </c>
      <c r="G118" s="188">
        <f>G119</f>
        <v>32.517088061583379</v>
      </c>
      <c r="H118" s="128"/>
      <c r="I118" s="128"/>
      <c r="J118" s="143"/>
      <c r="K118" s="127"/>
      <c r="L118" s="127" t="str">
        <f t="shared" si="20"/>
        <v/>
      </c>
    </row>
    <row r="119" spans="2:12" x14ac:dyDescent="0.25">
      <c r="B119" s="82">
        <v>4</v>
      </c>
      <c r="C119" s="82"/>
      <c r="D119" s="82">
        <v>4</v>
      </c>
      <c r="E119" s="82"/>
      <c r="F119" s="83" t="s">
        <v>5</v>
      </c>
      <c r="G119" s="77">
        <f>SUM(G120)</f>
        <v>32.517088061583379</v>
      </c>
      <c r="H119" s="77"/>
      <c r="I119" s="63"/>
      <c r="J119" s="70"/>
      <c r="K119" s="110">
        <f t="shared" si="19"/>
        <v>0</v>
      </c>
      <c r="L119" s="100" t="str">
        <f t="shared" si="20"/>
        <v/>
      </c>
    </row>
    <row r="120" spans="2:12" x14ac:dyDescent="0.25">
      <c r="B120" s="8"/>
      <c r="C120" s="8">
        <v>42</v>
      </c>
      <c r="D120" s="8"/>
      <c r="E120" s="8">
        <v>42</v>
      </c>
      <c r="F120" s="18" t="s">
        <v>70</v>
      </c>
      <c r="G120" s="79">
        <f>245/7.5345</f>
        <v>32.517088061583379</v>
      </c>
      <c r="H120" s="79"/>
      <c r="I120" s="81"/>
      <c r="J120" s="80"/>
      <c r="K120" s="100">
        <f t="shared" si="19"/>
        <v>0</v>
      </c>
      <c r="L120" s="100" t="str">
        <f t="shared" si="20"/>
        <v/>
      </c>
    </row>
    <row r="121" spans="2:12" x14ac:dyDescent="0.25">
      <c r="B121" s="55"/>
      <c r="C121" s="125"/>
      <c r="D121" s="125"/>
      <c r="E121" s="125"/>
      <c r="F121" s="55" t="s">
        <v>182</v>
      </c>
      <c r="G121" s="126"/>
      <c r="H121" s="128">
        <f>H122</f>
        <v>960710.45</v>
      </c>
      <c r="I121" s="128">
        <f>I122</f>
        <v>960710.45</v>
      </c>
      <c r="J121" s="143">
        <v>0</v>
      </c>
      <c r="K121" s="127"/>
      <c r="L121" s="127">
        <f t="shared" ref="L121:L123" si="51">IFERROR(J121/H121*100,"")</f>
        <v>0</v>
      </c>
    </row>
    <row r="122" spans="2:12" x14ac:dyDescent="0.25">
      <c r="B122" s="82">
        <v>4</v>
      </c>
      <c r="C122" s="82"/>
      <c r="D122" s="82">
        <v>4</v>
      </c>
      <c r="E122" s="82"/>
      <c r="F122" s="83" t="s">
        <v>5</v>
      </c>
      <c r="G122" s="35"/>
      <c r="H122" s="78">
        <f>H123</f>
        <v>960710.45</v>
      </c>
      <c r="I122" s="78">
        <f>I123</f>
        <v>960710.45</v>
      </c>
      <c r="J122" s="183"/>
      <c r="K122" s="183"/>
      <c r="L122" s="100">
        <f t="shared" si="51"/>
        <v>0</v>
      </c>
    </row>
    <row r="123" spans="2:12" x14ac:dyDescent="0.25">
      <c r="B123" s="8"/>
      <c r="C123" s="8">
        <v>45</v>
      </c>
      <c r="D123" s="8"/>
      <c r="E123" s="8">
        <v>45</v>
      </c>
      <c r="F123" s="18" t="s">
        <v>181</v>
      </c>
      <c r="G123" s="35"/>
      <c r="H123" s="35">
        <v>960710.45</v>
      </c>
      <c r="I123" s="35">
        <v>960710.45</v>
      </c>
      <c r="J123" s="183">
        <v>0</v>
      </c>
      <c r="K123" s="183"/>
      <c r="L123" s="100">
        <f t="shared" si="51"/>
        <v>0</v>
      </c>
    </row>
  </sheetData>
  <mergeCells count="5">
    <mergeCell ref="B39:F39"/>
    <mergeCell ref="B2:L2"/>
    <mergeCell ref="B4:F4"/>
    <mergeCell ref="B5:F5"/>
    <mergeCell ref="B38:F38"/>
  </mergeCells>
  <pageMargins left="0.70866141732283472" right="0.70866141732283472" top="0.74803149606299213" bottom="0.74803149606299213" header="0.31496062992125984" footer="0.31496062992125984"/>
  <pageSetup paperSize="9" scale="3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EDF950-D81F-43E8-9C73-D8B8D779A493}">
  <sheetPr>
    <pageSetUpPr fitToPage="1"/>
  </sheetPr>
  <dimension ref="A2:I14"/>
  <sheetViews>
    <sheetView workbookViewId="0">
      <selection activeCell="H8" sqref="H8"/>
    </sheetView>
  </sheetViews>
  <sheetFormatPr defaultRowHeight="15" x14ac:dyDescent="0.25"/>
  <cols>
    <col min="5" max="5" width="29.28515625" customWidth="1"/>
    <col min="6" max="6" width="26.140625" customWidth="1"/>
    <col min="7" max="7" width="22.28515625" customWidth="1"/>
    <col min="8" max="8" width="21.5703125" customWidth="1"/>
    <col min="9" max="9" width="28.7109375" customWidth="1"/>
  </cols>
  <sheetData>
    <row r="2" spans="1:9" ht="15.75" x14ac:dyDescent="0.25">
      <c r="B2" s="227" t="s">
        <v>188</v>
      </c>
      <c r="C2" s="227"/>
      <c r="D2" s="227"/>
      <c r="E2" s="227"/>
      <c r="F2" s="227"/>
      <c r="G2" s="227"/>
      <c r="H2" s="227"/>
      <c r="I2" s="227"/>
    </row>
    <row r="3" spans="1:9" ht="15.75" x14ac:dyDescent="0.25">
      <c r="A3" s="228"/>
      <c r="B3" s="229" t="s">
        <v>189</v>
      </c>
      <c r="C3" s="229"/>
      <c r="D3" s="229"/>
      <c r="E3" s="229"/>
      <c r="F3" s="229"/>
      <c r="G3" s="229"/>
      <c r="H3" s="229"/>
      <c r="I3" s="229"/>
    </row>
    <row r="4" spans="1:9" ht="15.75" x14ac:dyDescent="0.25">
      <c r="A4" s="228"/>
      <c r="B4" s="230"/>
      <c r="C4" s="230"/>
      <c r="D4" s="230"/>
      <c r="E4" s="230"/>
      <c r="F4" s="230"/>
      <c r="G4" s="230"/>
      <c r="H4" s="230"/>
      <c r="I4" s="230"/>
    </row>
    <row r="5" spans="1:9" ht="25.5" x14ac:dyDescent="0.25">
      <c r="B5" s="218" t="s">
        <v>6</v>
      </c>
      <c r="C5" s="219"/>
      <c r="D5" s="219"/>
      <c r="E5" s="220"/>
      <c r="F5" s="30" t="s">
        <v>190</v>
      </c>
      <c r="G5" s="30" t="s">
        <v>191</v>
      </c>
      <c r="H5" s="30" t="s">
        <v>192</v>
      </c>
      <c r="I5" s="30" t="s">
        <v>23</v>
      </c>
    </row>
    <row r="6" spans="1:9" x14ac:dyDescent="0.25">
      <c r="A6" s="23"/>
      <c r="B6" s="221">
        <v>1</v>
      </c>
      <c r="C6" s="222"/>
      <c r="D6" s="222"/>
      <c r="E6" s="223"/>
      <c r="F6" s="31">
        <v>2</v>
      </c>
      <c r="G6" s="31">
        <v>3</v>
      </c>
      <c r="H6" s="31">
        <v>4</v>
      </c>
      <c r="I6" s="31" t="s">
        <v>193</v>
      </c>
    </row>
    <row r="7" spans="1:9" ht="38.25" x14ac:dyDescent="0.25">
      <c r="B7" s="231" t="s">
        <v>194</v>
      </c>
      <c r="C7" s="231"/>
      <c r="D7" s="231"/>
      <c r="E7" s="232" t="s">
        <v>195</v>
      </c>
      <c r="F7" s="33">
        <v>11844340.57</v>
      </c>
      <c r="G7" s="33"/>
      <c r="H7" s="33">
        <v>7515063.9699999997</v>
      </c>
      <c r="I7" s="33">
        <f>H7/F7*100</f>
        <v>63.44856368816825</v>
      </c>
    </row>
    <row r="8" spans="1:9" x14ac:dyDescent="0.25">
      <c r="B8" s="231" t="s">
        <v>196</v>
      </c>
      <c r="C8" s="231"/>
      <c r="D8" s="231"/>
      <c r="E8" s="232" t="s">
        <v>197</v>
      </c>
      <c r="F8" s="33">
        <v>11844340.57</v>
      </c>
      <c r="G8" s="33"/>
      <c r="H8" s="33">
        <v>7515063.9699999997</v>
      </c>
      <c r="I8" s="33">
        <f>H8/F8*100</f>
        <v>63.44856368816825</v>
      </c>
    </row>
    <row r="9" spans="1:9" x14ac:dyDescent="0.25">
      <c r="B9" s="231"/>
      <c r="C9" s="231"/>
      <c r="D9" s="231"/>
      <c r="E9" s="232"/>
      <c r="F9" s="183"/>
      <c r="G9" s="183"/>
      <c r="H9" s="183"/>
      <c r="I9" s="183"/>
    </row>
    <row r="10" spans="1:9" x14ac:dyDescent="0.25">
      <c r="B10" s="233"/>
      <c r="C10" s="234"/>
      <c r="D10" s="235"/>
      <c r="E10" s="183"/>
      <c r="F10" s="183"/>
      <c r="G10" s="183"/>
      <c r="H10" s="183"/>
      <c r="I10" s="183"/>
    </row>
    <row r="11" spans="1:9" x14ac:dyDescent="0.25">
      <c r="B11" s="233"/>
      <c r="C11" s="234"/>
      <c r="D11" s="235"/>
      <c r="E11" s="183"/>
      <c r="F11" s="183"/>
      <c r="G11" s="183"/>
      <c r="H11" s="183"/>
      <c r="I11" s="183"/>
    </row>
    <row r="12" spans="1:9" x14ac:dyDescent="0.25">
      <c r="B12" s="233"/>
      <c r="C12" s="234"/>
      <c r="D12" s="235"/>
      <c r="E12" s="183"/>
      <c r="F12" s="183"/>
      <c r="G12" s="183"/>
      <c r="H12" s="183"/>
      <c r="I12" s="183"/>
    </row>
    <row r="13" spans="1:9" x14ac:dyDescent="0.25">
      <c r="B13" s="233"/>
      <c r="C13" s="234"/>
      <c r="D13" s="235"/>
      <c r="E13" s="183"/>
      <c r="F13" s="183"/>
      <c r="G13" s="183"/>
      <c r="H13" s="183"/>
      <c r="I13" s="183"/>
    </row>
    <row r="14" spans="1:9" x14ac:dyDescent="0.25">
      <c r="B14" s="233"/>
      <c r="C14" s="234"/>
      <c r="D14" s="235"/>
      <c r="E14" s="183"/>
      <c r="F14" s="183"/>
      <c r="G14" s="183"/>
      <c r="H14" s="183"/>
      <c r="I14" s="183"/>
    </row>
  </sheetData>
  <mergeCells count="12">
    <mergeCell ref="B9:D9"/>
    <mergeCell ref="B10:D10"/>
    <mergeCell ref="B11:D11"/>
    <mergeCell ref="B12:D12"/>
    <mergeCell ref="B13:D13"/>
    <mergeCell ref="B14:D14"/>
    <mergeCell ref="B2:I2"/>
    <mergeCell ref="B3:I3"/>
    <mergeCell ref="B5:E5"/>
    <mergeCell ref="B6:E6"/>
    <mergeCell ref="B7:D7"/>
    <mergeCell ref="B8:D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6FF123-8E6F-4B74-A2B3-D2663BA5124F}">
  <sheetPr>
    <pageSetUpPr fitToPage="1"/>
  </sheetPr>
  <dimension ref="B1:I21"/>
  <sheetViews>
    <sheetView tabSelected="1" workbookViewId="0">
      <selection activeCell="K4" sqref="K4"/>
    </sheetView>
  </sheetViews>
  <sheetFormatPr defaultRowHeight="15" x14ac:dyDescent="0.25"/>
  <cols>
    <col min="1" max="1" width="11.5703125" customWidth="1"/>
    <col min="2" max="2" width="13.28515625" customWidth="1"/>
    <col min="3" max="3" width="6" customWidth="1"/>
    <col min="4" max="4" width="4" customWidth="1"/>
    <col min="5" max="5" width="36.85546875" customWidth="1"/>
    <col min="6" max="6" width="19.85546875" customWidth="1"/>
    <col min="7" max="7" width="19.28515625" customWidth="1"/>
    <col min="8" max="8" width="21.42578125" customWidth="1"/>
    <col min="9" max="9" width="15.140625" customWidth="1"/>
  </cols>
  <sheetData>
    <row r="1" spans="2:9" ht="18" x14ac:dyDescent="0.25">
      <c r="B1" s="2"/>
      <c r="C1" s="2"/>
      <c r="D1" s="2"/>
      <c r="E1" s="2"/>
      <c r="F1" s="2"/>
      <c r="G1" s="2"/>
      <c r="H1" s="2"/>
      <c r="I1" s="3"/>
    </row>
    <row r="2" spans="2:9" ht="15.75" x14ac:dyDescent="0.25">
      <c r="B2" s="236" t="s">
        <v>198</v>
      </c>
      <c r="C2" s="236"/>
      <c r="D2" s="236"/>
      <c r="E2" s="236"/>
      <c r="F2" s="236"/>
      <c r="G2" s="236"/>
      <c r="H2" s="236"/>
      <c r="I2" s="236"/>
    </row>
    <row r="3" spans="2:9" ht="18" x14ac:dyDescent="0.25">
      <c r="B3" s="237"/>
      <c r="C3" s="237"/>
      <c r="D3" s="237"/>
      <c r="E3" s="237"/>
      <c r="F3" s="237"/>
      <c r="G3" s="237"/>
      <c r="H3" s="237"/>
      <c r="I3" s="238"/>
    </row>
    <row r="4" spans="2:9" ht="56.25" customHeight="1" x14ac:dyDescent="0.25">
      <c r="B4" s="218" t="s">
        <v>6</v>
      </c>
      <c r="C4" s="219"/>
      <c r="D4" s="219"/>
      <c r="E4" s="220"/>
      <c r="F4" s="30" t="s">
        <v>190</v>
      </c>
      <c r="G4" s="30" t="s">
        <v>191</v>
      </c>
      <c r="H4" s="30" t="s">
        <v>230</v>
      </c>
      <c r="I4" s="30" t="s">
        <v>23</v>
      </c>
    </row>
    <row r="5" spans="2:9" s="23" customFormat="1" ht="11.25" x14ac:dyDescent="0.2">
      <c r="B5" s="221">
        <v>1</v>
      </c>
      <c r="C5" s="222"/>
      <c r="D5" s="222"/>
      <c r="E5" s="223"/>
      <c r="F5" s="31">
        <v>2</v>
      </c>
      <c r="G5" s="31">
        <v>3</v>
      </c>
      <c r="H5" s="31">
        <v>4</v>
      </c>
      <c r="I5" s="31" t="s">
        <v>199</v>
      </c>
    </row>
    <row r="6" spans="2:9" x14ac:dyDescent="0.25">
      <c r="B6" s="239">
        <v>4001</v>
      </c>
      <c r="C6" s="240"/>
      <c r="D6" s="241"/>
      <c r="E6" s="242" t="s">
        <v>200</v>
      </c>
      <c r="F6" s="243">
        <f>SUM(F7:F18)</f>
        <v>9356534.4800000004</v>
      </c>
      <c r="G6" s="244"/>
      <c r="H6" s="244">
        <f>SUM(H7:H18)</f>
        <v>5082298.95</v>
      </c>
      <c r="I6" s="244">
        <f>H6/F6*100</f>
        <v>54.318176894058745</v>
      </c>
    </row>
    <row r="7" spans="2:9" x14ac:dyDescent="0.25">
      <c r="B7" s="245" t="s">
        <v>201</v>
      </c>
      <c r="C7" s="246"/>
      <c r="D7" s="247"/>
      <c r="E7" s="248" t="s">
        <v>202</v>
      </c>
      <c r="F7" s="249">
        <v>7660.49</v>
      </c>
      <c r="G7" s="250"/>
      <c r="H7" s="250">
        <v>7660.49</v>
      </c>
      <c r="I7" s="244">
        <f t="shared" ref="I7:I18" si="0">H7/F7*100</f>
        <v>100</v>
      </c>
    </row>
    <row r="8" spans="2:9" ht="30" customHeight="1" x14ac:dyDescent="0.25">
      <c r="B8" s="245" t="s">
        <v>203</v>
      </c>
      <c r="C8" s="246"/>
      <c r="D8" s="247"/>
      <c r="E8" s="251" t="s">
        <v>204</v>
      </c>
      <c r="F8" s="249">
        <v>1129.95</v>
      </c>
      <c r="G8" s="250"/>
      <c r="H8" s="250">
        <v>1128.1300000000001</v>
      </c>
      <c r="I8" s="244">
        <f t="shared" si="0"/>
        <v>99.838930926147185</v>
      </c>
    </row>
    <row r="9" spans="2:9" ht="29.25" customHeight="1" x14ac:dyDescent="0.25">
      <c r="B9" s="253" t="s">
        <v>222</v>
      </c>
      <c r="C9" s="254"/>
      <c r="D9" s="248"/>
      <c r="E9" s="257" t="s">
        <v>223</v>
      </c>
      <c r="F9" s="249">
        <v>270</v>
      </c>
      <c r="G9" s="250"/>
      <c r="H9" s="250">
        <v>270</v>
      </c>
      <c r="I9" s="244">
        <f t="shared" si="0"/>
        <v>100</v>
      </c>
    </row>
    <row r="10" spans="2:9" ht="29.25" customHeight="1" x14ac:dyDescent="0.25">
      <c r="B10" s="252" t="s">
        <v>205</v>
      </c>
      <c r="C10" s="252"/>
      <c r="D10" s="252"/>
      <c r="E10" s="251" t="s">
        <v>206</v>
      </c>
      <c r="F10" s="249">
        <v>14619.56</v>
      </c>
      <c r="G10" s="250"/>
      <c r="H10" s="250">
        <v>12014.08</v>
      </c>
      <c r="I10" s="244">
        <f>H10/F10*100</f>
        <v>82.178123007805979</v>
      </c>
    </row>
    <row r="11" spans="2:9" ht="29.25" customHeight="1" x14ac:dyDescent="0.25">
      <c r="B11" s="253" t="s">
        <v>224</v>
      </c>
      <c r="C11" s="254"/>
      <c r="D11" s="248"/>
      <c r="E11" s="258" t="s">
        <v>225</v>
      </c>
      <c r="F11" s="249">
        <v>5457215.8099999996</v>
      </c>
      <c r="G11" s="250"/>
      <c r="H11" s="250">
        <v>4059968.42</v>
      </c>
      <c r="I11" s="244">
        <f>H11/F11*100</f>
        <v>74.396332513740191</v>
      </c>
    </row>
    <row r="12" spans="2:9" ht="25.5" x14ac:dyDescent="0.25">
      <c r="B12" s="245" t="s">
        <v>227</v>
      </c>
      <c r="C12" s="246"/>
      <c r="D12" s="247"/>
      <c r="E12" s="258" t="s">
        <v>226</v>
      </c>
      <c r="F12" s="249">
        <v>3605417.54</v>
      </c>
      <c r="G12" s="250"/>
      <c r="H12" s="250">
        <v>800457.16</v>
      </c>
      <c r="I12" s="244">
        <f t="shared" si="0"/>
        <v>22.201510674405828</v>
      </c>
    </row>
    <row r="13" spans="2:9" x14ac:dyDescent="0.25">
      <c r="B13" s="245" t="s">
        <v>207</v>
      </c>
      <c r="C13" s="246"/>
      <c r="D13" s="247"/>
      <c r="E13" s="248" t="s">
        <v>208</v>
      </c>
      <c r="F13" s="249">
        <v>1327.61</v>
      </c>
      <c r="G13" s="250"/>
      <c r="H13" s="250">
        <v>663.61</v>
      </c>
      <c r="I13" s="244">
        <f t="shared" si="0"/>
        <v>49.985311951552042</v>
      </c>
    </row>
    <row r="14" spans="2:9" x14ac:dyDescent="0.25">
      <c r="B14" s="245" t="s">
        <v>209</v>
      </c>
      <c r="C14" s="246"/>
      <c r="D14" s="247"/>
      <c r="E14" s="248" t="s">
        <v>210</v>
      </c>
      <c r="F14" s="249">
        <v>26.76</v>
      </c>
      <c r="G14" s="250"/>
      <c r="H14" s="250">
        <v>26.76</v>
      </c>
      <c r="I14" s="244">
        <f t="shared" si="0"/>
        <v>100</v>
      </c>
    </row>
    <row r="15" spans="2:9" x14ac:dyDescent="0.25">
      <c r="B15" s="253" t="s">
        <v>211</v>
      </c>
      <c r="C15" s="254"/>
      <c r="D15" s="248"/>
      <c r="E15" s="248" t="s">
        <v>212</v>
      </c>
      <c r="F15" s="249">
        <v>41479.660000000003</v>
      </c>
      <c r="G15" s="250"/>
      <c r="H15" s="250">
        <v>41479.660000000003</v>
      </c>
      <c r="I15" s="244">
        <f t="shared" si="0"/>
        <v>100</v>
      </c>
    </row>
    <row r="16" spans="2:9" x14ac:dyDescent="0.25">
      <c r="B16" s="253" t="s">
        <v>213</v>
      </c>
      <c r="C16" s="254"/>
      <c r="D16" s="248"/>
      <c r="E16" s="248" t="s">
        <v>214</v>
      </c>
      <c r="F16" s="249">
        <v>17600</v>
      </c>
      <c r="G16" s="250"/>
      <c r="H16" s="250">
        <v>17587.63</v>
      </c>
      <c r="I16" s="244">
        <f t="shared" si="0"/>
        <v>99.929715909090916</v>
      </c>
    </row>
    <row r="17" spans="2:9" x14ac:dyDescent="0.25">
      <c r="B17" s="253" t="s">
        <v>215</v>
      </c>
      <c r="C17" s="254"/>
      <c r="D17" s="248"/>
      <c r="E17" s="248" t="s">
        <v>216</v>
      </c>
      <c r="F17" s="249">
        <v>206972.79999999999</v>
      </c>
      <c r="G17" s="250"/>
      <c r="H17" s="250">
        <v>138228.71</v>
      </c>
      <c r="I17" s="244">
        <f t="shared" si="0"/>
        <v>66.785930325144164</v>
      </c>
    </row>
    <row r="18" spans="2:9" x14ac:dyDescent="0.25">
      <c r="B18" s="253" t="s">
        <v>228</v>
      </c>
      <c r="C18" s="254"/>
      <c r="D18" s="248"/>
      <c r="E18" s="248" t="s">
        <v>229</v>
      </c>
      <c r="F18" s="249">
        <v>2814.3</v>
      </c>
      <c r="G18" s="250"/>
      <c r="H18" s="250">
        <v>2814.3</v>
      </c>
      <c r="I18" s="244">
        <f t="shared" si="0"/>
        <v>100</v>
      </c>
    </row>
    <row r="19" spans="2:9" ht="33" customHeight="1" x14ac:dyDescent="0.25">
      <c r="B19" s="231">
        <v>4040</v>
      </c>
      <c r="C19" s="231"/>
      <c r="D19" s="231"/>
      <c r="E19" s="255" t="s">
        <v>217</v>
      </c>
      <c r="F19" s="243">
        <f>SUM(F20:F21)</f>
        <v>2487806.0900000003</v>
      </c>
      <c r="G19" s="244"/>
      <c r="H19" s="244">
        <f>SUM(H20:H21)</f>
        <v>2432765.02</v>
      </c>
      <c r="I19" s="244">
        <f t="shared" ref="I19:I21" si="1">H19/F19*100</f>
        <v>97.787565911135772</v>
      </c>
    </row>
    <row r="20" spans="2:9" ht="30" customHeight="1" x14ac:dyDescent="0.25">
      <c r="B20" s="252" t="s">
        <v>218</v>
      </c>
      <c r="C20" s="252"/>
      <c r="D20" s="252"/>
      <c r="E20" s="251" t="s">
        <v>219</v>
      </c>
      <c r="F20" s="249">
        <v>2482585.14</v>
      </c>
      <c r="G20" s="250"/>
      <c r="H20" s="250">
        <v>2427533.13</v>
      </c>
      <c r="I20" s="244">
        <f t="shared" si="1"/>
        <v>97.782472427108786</v>
      </c>
    </row>
    <row r="21" spans="2:9" ht="25.5" x14ac:dyDescent="0.25">
      <c r="B21" s="245" t="s">
        <v>220</v>
      </c>
      <c r="C21" s="246"/>
      <c r="D21" s="247"/>
      <c r="E21" s="256" t="s">
        <v>221</v>
      </c>
      <c r="F21" s="249">
        <v>5220.95</v>
      </c>
      <c r="G21" s="250"/>
      <c r="H21" s="250">
        <v>5231.8900000000003</v>
      </c>
      <c r="I21" s="244">
        <f t="shared" si="1"/>
        <v>100.2095404093125</v>
      </c>
    </row>
  </sheetData>
  <mergeCells count="13">
    <mergeCell ref="B14:D14"/>
    <mergeCell ref="B19:D19"/>
    <mergeCell ref="B20:D20"/>
    <mergeCell ref="B21:D21"/>
    <mergeCell ref="B10:D10"/>
    <mergeCell ref="B12:D12"/>
    <mergeCell ref="B13:D13"/>
    <mergeCell ref="B2:I2"/>
    <mergeCell ref="B4:E4"/>
    <mergeCell ref="B5:E5"/>
    <mergeCell ref="B6:D6"/>
    <mergeCell ref="B7:D7"/>
    <mergeCell ref="B8:D8"/>
  </mergeCells>
  <phoneticPr fontId="35" type="noConversion"/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6</vt:i4>
      </vt:variant>
    </vt:vector>
  </HeadingPairs>
  <TitlesOfParts>
    <vt:vector size="6" baseType="lpstr">
      <vt:lpstr>SAŽETAK</vt:lpstr>
      <vt:lpstr> Račun prihoda i rashoda</vt:lpstr>
      <vt:lpstr>Rashodi prema funkcijskoj k </vt:lpstr>
      <vt:lpstr>Prihodi i rashodi prema izvoru</vt:lpstr>
      <vt:lpstr>Izvještaj po organizacijskoj</vt:lpstr>
      <vt:lpstr>Izvještaj po programskoj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Meri Kovačević</cp:lastModifiedBy>
  <cp:lastPrinted>2024-03-27T11:03:59Z</cp:lastPrinted>
  <dcterms:created xsi:type="dcterms:W3CDTF">2022-08-12T12:51:27Z</dcterms:created>
  <dcterms:modified xsi:type="dcterms:W3CDTF">2024-03-27T11:04:43Z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- Tablica za izradu proračuna JLP(R)S - Copy.xlsx</vt:lpwstr>
  </property>
</Properties>
</file>