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3B234F19-763B-472E-A4EF-28E633111B0B}" xr6:coauthVersionLast="47" xr6:coauthVersionMax="47" xr10:uidLastSave="{00000000-0000-0000-0000-000000000000}"/>
  <bookViews>
    <workbookView xWindow="1425" yWindow="1425" windowWidth="21600" windowHeight="11190" firstSheet="4" activeTab="6" xr2:uid="{00000000-000D-0000-FFFF-FFFF00000000}"/>
  </bookViews>
  <sheets>
    <sheet name="SAŽETAK" sheetId="1" r:id="rId1"/>
    <sheet name=" Račun prihoda i rashoda" sheetId="3" r:id="rId2"/>
    <sheet name="Rashodi prema funkcijskoj k " sheetId="11" r:id="rId3"/>
    <sheet name="Rashodi i prihodi prema izvoru" sheetId="8" r:id="rId4"/>
    <sheet name="Račun financiranja " sheetId="9" r:id="rId5"/>
    <sheet name="Organizacijska klasifikacija" sheetId="12" r:id="rId6"/>
    <sheet name="Programska klasifikacija" sheetId="7" r:id="rId7"/>
    <sheet name="List1" sheetId="13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7" l="1"/>
  <c r="H23" i="7"/>
  <c r="H21" i="11"/>
  <c r="H22" i="11"/>
  <c r="H23" i="11"/>
  <c r="H27" i="11"/>
  <c r="L103" i="3"/>
  <c r="H13" i="7"/>
  <c r="I13" i="7"/>
  <c r="H12" i="7"/>
  <c r="H8" i="7"/>
  <c r="G8" i="7"/>
  <c r="F8" i="7"/>
  <c r="I16" i="7"/>
  <c r="I10" i="7"/>
  <c r="I11" i="7"/>
  <c r="I12" i="7"/>
  <c r="I14" i="7"/>
  <c r="I15" i="7"/>
  <c r="I17" i="7"/>
  <c r="I18" i="7"/>
  <c r="I19" i="7"/>
  <c r="I20" i="7"/>
  <c r="I22" i="7"/>
  <c r="I9" i="7"/>
  <c r="I23" i="7" l="1"/>
  <c r="G21" i="7"/>
  <c r="H21" i="7"/>
  <c r="F21" i="7"/>
  <c r="F19" i="11"/>
  <c r="F18" i="11"/>
  <c r="F27" i="11"/>
  <c r="F22" i="11"/>
  <c r="F10" i="11"/>
  <c r="F9" i="11"/>
  <c r="F8" i="11"/>
  <c r="E27" i="11"/>
  <c r="E17" i="11" s="1"/>
  <c r="E24" i="11"/>
  <c r="E22" i="11"/>
  <c r="E21" i="11"/>
  <c r="E19" i="11"/>
  <c r="E18" i="11"/>
  <c r="E10" i="11"/>
  <c r="E9" i="11"/>
  <c r="E7" i="11" s="1"/>
  <c r="E6" i="11" s="1"/>
  <c r="E8" i="11"/>
  <c r="D19" i="11"/>
  <c r="D18" i="11"/>
  <c r="D22" i="11"/>
  <c r="D24" i="11"/>
  <c r="D21" i="11"/>
  <c r="D27" i="11"/>
  <c r="D9" i="11"/>
  <c r="D10" i="11"/>
  <c r="D8" i="11"/>
  <c r="F24" i="11"/>
  <c r="F21" i="11"/>
  <c r="H127" i="8"/>
  <c r="H128" i="8"/>
  <c r="H130" i="8"/>
  <c r="H131" i="8"/>
  <c r="H126" i="8"/>
  <c r="H124" i="8"/>
  <c r="H122" i="8"/>
  <c r="H102" i="8"/>
  <c r="H104" i="8"/>
  <c r="H105" i="8"/>
  <c r="H103" i="8"/>
  <c r="I97" i="8"/>
  <c r="I90" i="8"/>
  <c r="I86" i="8"/>
  <c r="I87" i="8"/>
  <c r="H70" i="8"/>
  <c r="I72" i="8"/>
  <c r="I73" i="8"/>
  <c r="H71" i="8"/>
  <c r="H72" i="8"/>
  <c r="H73" i="8"/>
  <c r="I59" i="8"/>
  <c r="I60" i="8"/>
  <c r="I61" i="8"/>
  <c r="I62" i="8"/>
  <c r="I63" i="8"/>
  <c r="H49" i="8"/>
  <c r="H48" i="8"/>
  <c r="G104" i="8" l="1"/>
  <c r="G107" i="8"/>
  <c r="F107" i="8"/>
  <c r="G49" i="8"/>
  <c r="G48" i="8"/>
  <c r="G69" i="8" l="1"/>
  <c r="G61" i="8"/>
  <c r="G58" i="8"/>
  <c r="G54" i="8"/>
  <c r="G128" i="8"/>
  <c r="G117" i="8"/>
  <c r="G136" i="8"/>
  <c r="G111" i="8"/>
  <c r="F155" i="8"/>
  <c r="F153" i="8"/>
  <c r="F152" i="8" s="1"/>
  <c r="F150" i="8"/>
  <c r="F149" i="8" s="1"/>
  <c r="F146" i="8"/>
  <c r="F145" i="8" s="1"/>
  <c r="F141" i="8"/>
  <c r="F140" i="8" s="1"/>
  <c r="F139" i="8"/>
  <c r="F138" i="8"/>
  <c r="F137" i="8"/>
  <c r="F134" i="8"/>
  <c r="F128" i="8"/>
  <c r="F126" i="8" s="1"/>
  <c r="F125" i="8" s="1"/>
  <c r="F127" i="8"/>
  <c r="F122" i="8"/>
  <c r="F121" i="8"/>
  <c r="F118" i="8"/>
  <c r="F117" i="8"/>
  <c r="F112" i="8"/>
  <c r="F111" i="8"/>
  <c r="F110" i="8"/>
  <c r="F109" i="8" s="1"/>
  <c r="F106" i="8"/>
  <c r="F104" i="8"/>
  <c r="F103" i="8" s="1"/>
  <c r="F102" i="8" s="1"/>
  <c r="F99" i="8"/>
  <c r="F98" i="8" s="1"/>
  <c r="F96" i="8"/>
  <c r="F95" i="8"/>
  <c r="F92" i="8"/>
  <c r="F91" i="8"/>
  <c r="F89" i="8"/>
  <c r="F88" i="8"/>
  <c r="F85" i="8"/>
  <c r="F82" i="8"/>
  <c r="F81" i="8" s="1"/>
  <c r="F79" i="8"/>
  <c r="F77" i="8"/>
  <c r="F76" i="8"/>
  <c r="F70" i="8"/>
  <c r="F69" i="8"/>
  <c r="F67" i="8"/>
  <c r="F65" i="8"/>
  <c r="F64" i="8" s="1"/>
  <c r="F61" i="8"/>
  <c r="F60" i="8"/>
  <c r="F58" i="8"/>
  <c r="F57" i="8" s="1"/>
  <c r="F54" i="8"/>
  <c r="F49" i="8"/>
  <c r="F48" i="8"/>
  <c r="F47" i="8" s="1"/>
  <c r="F46" i="8" s="1"/>
  <c r="E45" i="8"/>
  <c r="E102" i="8"/>
  <c r="D102" i="8"/>
  <c r="E89" i="8"/>
  <c r="E88" i="8" s="1"/>
  <c r="I101" i="8"/>
  <c r="I100" i="8"/>
  <c r="G99" i="8"/>
  <c r="G98" i="8" s="1"/>
  <c r="E99" i="8"/>
  <c r="E98" i="8" s="1"/>
  <c r="D99" i="8"/>
  <c r="D98" i="8" s="1"/>
  <c r="E128" i="8"/>
  <c r="E127" i="8"/>
  <c r="E150" i="8"/>
  <c r="E149" i="8" s="1"/>
  <c r="E54" i="8"/>
  <c r="E61" i="8"/>
  <c r="E60" i="8"/>
  <c r="E58" i="8" s="1"/>
  <c r="E57" i="8" s="1"/>
  <c r="G146" i="8"/>
  <c r="G145" i="8" s="1"/>
  <c r="E146" i="8"/>
  <c r="E145" i="8" s="1"/>
  <c r="E112" i="8"/>
  <c r="E111" i="8"/>
  <c r="G96" i="8"/>
  <c r="H96" i="8"/>
  <c r="E96" i="8"/>
  <c r="E139" i="8"/>
  <c r="E104" i="8"/>
  <c r="E49" i="8"/>
  <c r="E48" i="8"/>
  <c r="E107" i="8"/>
  <c r="I108" i="8"/>
  <c r="D106" i="8"/>
  <c r="E117" i="8"/>
  <c r="G122" i="8"/>
  <c r="G121" i="8" s="1"/>
  <c r="E122" i="8"/>
  <c r="G155" i="8"/>
  <c r="H155" i="8"/>
  <c r="I154" i="8"/>
  <c r="H154" i="8"/>
  <c r="H153" i="8" s="1"/>
  <c r="H152" i="8" s="1"/>
  <c r="G153" i="8"/>
  <c r="E153" i="8"/>
  <c r="D153" i="8"/>
  <c r="D152" i="8" s="1"/>
  <c r="E118" i="8"/>
  <c r="G118" i="8"/>
  <c r="G85" i="8"/>
  <c r="D85" i="8"/>
  <c r="E85" i="8"/>
  <c r="D61" i="8"/>
  <c r="G57" i="8" l="1"/>
  <c r="F45" i="8"/>
  <c r="H98" i="8"/>
  <c r="I98" i="8"/>
  <c r="I99" i="8"/>
  <c r="E106" i="8"/>
  <c r="I153" i="8"/>
  <c r="G152" i="8"/>
  <c r="F9" i="8"/>
  <c r="E9" i="8"/>
  <c r="G9" i="8"/>
  <c r="G12" i="8"/>
  <c r="E36" i="8"/>
  <c r="E35" i="8" s="1"/>
  <c r="F36" i="8"/>
  <c r="F35" i="8" s="1"/>
  <c r="G36" i="8"/>
  <c r="G35" i="8" s="1"/>
  <c r="D36" i="8"/>
  <c r="D35" i="8" s="1"/>
  <c r="E18" i="8"/>
  <c r="E21" i="8"/>
  <c r="E20" i="8" s="1"/>
  <c r="F21" i="8"/>
  <c r="F20" i="8" s="1"/>
  <c r="G21" i="8"/>
  <c r="G20" i="8" s="1"/>
  <c r="H21" i="8"/>
  <c r="I21" i="8"/>
  <c r="D21" i="8"/>
  <c r="D20" i="8" s="1"/>
  <c r="E24" i="8"/>
  <c r="E23" i="8" s="1"/>
  <c r="F24" i="8"/>
  <c r="F23" i="8" s="1"/>
  <c r="G24" i="8"/>
  <c r="G23" i="8" s="1"/>
  <c r="H24" i="8"/>
  <c r="I24" i="8"/>
  <c r="D24" i="8"/>
  <c r="D23" i="8" s="1"/>
  <c r="I20" i="8" l="1"/>
  <c r="I23" i="8"/>
  <c r="H23" i="8"/>
  <c r="H20" i="8"/>
  <c r="C15" i="11" l="1"/>
  <c r="C26" i="11" s="1"/>
  <c r="C10" i="11"/>
  <c r="C9" i="11"/>
  <c r="C19" i="11" s="1"/>
  <c r="C8" i="11"/>
  <c r="C18" i="11" s="1"/>
  <c r="C7" i="11"/>
  <c r="G27" i="11"/>
  <c r="H24" i="11"/>
  <c r="G24" i="11"/>
  <c r="G23" i="11"/>
  <c r="G22" i="11"/>
  <c r="G21" i="11"/>
  <c r="G20" i="11"/>
  <c r="D17" i="11"/>
  <c r="H16" i="11"/>
  <c r="G16" i="11"/>
  <c r="H14" i="11"/>
  <c r="G14" i="11"/>
  <c r="H13" i="11"/>
  <c r="G13" i="11"/>
  <c r="H12" i="11"/>
  <c r="G12" i="11"/>
  <c r="H11" i="11"/>
  <c r="G11" i="11"/>
  <c r="H10" i="11"/>
  <c r="H9" i="11"/>
  <c r="G9" i="11"/>
  <c r="G8" i="11"/>
  <c r="D7" i="11"/>
  <c r="I31" i="8"/>
  <c r="H31" i="8"/>
  <c r="G30" i="8"/>
  <c r="G29" i="8" s="1"/>
  <c r="F30" i="8"/>
  <c r="F29" i="8" s="1"/>
  <c r="E30" i="8"/>
  <c r="E29" i="8" s="1"/>
  <c r="D30" i="8"/>
  <c r="D29" i="8" s="1"/>
  <c r="D143" i="8"/>
  <c r="D141" i="8"/>
  <c r="D139" i="8"/>
  <c r="D138" i="8" s="1"/>
  <c r="D137" i="8" s="1"/>
  <c r="D135" i="8"/>
  <c r="D134" i="8" s="1"/>
  <c r="D128" i="8"/>
  <c r="D127" i="8"/>
  <c r="D122" i="8"/>
  <c r="D121" i="8" s="1"/>
  <c r="D119" i="8"/>
  <c r="D118" i="8" s="1"/>
  <c r="D117" i="8"/>
  <c r="H117" i="8" s="1"/>
  <c r="D115" i="8"/>
  <c r="D114" i="8"/>
  <c r="H114" i="8" s="1"/>
  <c r="D112" i="8"/>
  <c r="D111" i="8"/>
  <c r="H111" i="8" s="1"/>
  <c r="D105" i="8"/>
  <c r="D104" i="8"/>
  <c r="D92" i="8"/>
  <c r="D91" i="8" s="1"/>
  <c r="D82" i="8"/>
  <c r="D81" i="8" s="1"/>
  <c r="D79" i="8"/>
  <c r="D77" i="8"/>
  <c r="D70" i="8"/>
  <c r="D67" i="8"/>
  <c r="D65" i="8"/>
  <c r="D54" i="8"/>
  <c r="D49" i="8"/>
  <c r="D48" i="8"/>
  <c r="D39" i="8"/>
  <c r="D38" i="8" s="1"/>
  <c r="D33" i="8"/>
  <c r="D32" i="8" s="1"/>
  <c r="D27" i="8"/>
  <c r="D26" i="8" s="1"/>
  <c r="D18" i="8"/>
  <c r="D17" i="8" s="1"/>
  <c r="D14" i="8"/>
  <c r="D13" i="8" s="1"/>
  <c r="D11" i="8"/>
  <c r="D10" i="8" s="1"/>
  <c r="D8" i="8"/>
  <c r="D7" i="8" s="1"/>
  <c r="G39" i="8"/>
  <c r="G38" i="8" s="1"/>
  <c r="F39" i="8"/>
  <c r="F38" i="8" s="1"/>
  <c r="E39" i="8"/>
  <c r="E38" i="8" s="1"/>
  <c r="G33" i="8"/>
  <c r="G32" i="8" s="1"/>
  <c r="F33" i="8"/>
  <c r="F32" i="8" s="1"/>
  <c r="E33" i="8"/>
  <c r="E32" i="8" s="1"/>
  <c r="G27" i="8"/>
  <c r="G26" i="8" s="1"/>
  <c r="F27" i="8"/>
  <c r="F26" i="8" s="1"/>
  <c r="E27" i="8"/>
  <c r="E26" i="8" s="1"/>
  <c r="G18" i="8"/>
  <c r="G17" i="8" s="1"/>
  <c r="F18" i="8"/>
  <c r="F17" i="8" s="1"/>
  <c r="E17" i="8"/>
  <c r="G14" i="8"/>
  <c r="F14" i="8"/>
  <c r="F13" i="8" s="1"/>
  <c r="E14" i="8"/>
  <c r="E13" i="8" s="1"/>
  <c r="G11" i="8"/>
  <c r="G10" i="8" s="1"/>
  <c r="F11" i="8"/>
  <c r="F10" i="8" s="1"/>
  <c r="E11" i="8"/>
  <c r="E10" i="8" s="1"/>
  <c r="G8" i="8"/>
  <c r="G7" i="8" s="1"/>
  <c r="F8" i="8"/>
  <c r="F7" i="8" s="1"/>
  <c r="E8" i="8"/>
  <c r="E7" i="8" s="1"/>
  <c r="I156" i="8"/>
  <c r="E155" i="8"/>
  <c r="I151" i="8"/>
  <c r="H151" i="8"/>
  <c r="I150" i="8"/>
  <c r="H150" i="8"/>
  <c r="I149" i="8"/>
  <c r="I148" i="8"/>
  <c r="H148" i="8"/>
  <c r="I147" i="8"/>
  <c r="I146" i="8"/>
  <c r="H146" i="8"/>
  <c r="I145" i="8"/>
  <c r="H145" i="8"/>
  <c r="I144" i="8"/>
  <c r="H144" i="8"/>
  <c r="G143" i="8"/>
  <c r="I143" i="8" s="1"/>
  <c r="I142" i="8"/>
  <c r="H142" i="8"/>
  <c r="G141" i="8"/>
  <c r="E141" i="8"/>
  <c r="E140" i="8" s="1"/>
  <c r="I139" i="8"/>
  <c r="E138" i="8"/>
  <c r="E137" i="8" s="1"/>
  <c r="G138" i="8"/>
  <c r="G137" i="8" s="1"/>
  <c r="I136" i="8"/>
  <c r="H136" i="8"/>
  <c r="I135" i="8"/>
  <c r="G134" i="8"/>
  <c r="E134" i="8"/>
  <c r="I133" i="8"/>
  <c r="H133" i="8"/>
  <c r="I132" i="8"/>
  <c r="I131" i="8"/>
  <c r="I130" i="8"/>
  <c r="I129" i="8"/>
  <c r="G126" i="8"/>
  <c r="E126" i="8"/>
  <c r="I127" i="8"/>
  <c r="I124" i="8"/>
  <c r="E121" i="8"/>
  <c r="I119" i="8"/>
  <c r="H119" i="8"/>
  <c r="I117" i="8"/>
  <c r="I116" i="8"/>
  <c r="H116" i="8"/>
  <c r="I115" i="8"/>
  <c r="I114" i="8"/>
  <c r="I113" i="8"/>
  <c r="H113" i="8"/>
  <c r="I112" i="8"/>
  <c r="I111" i="8"/>
  <c r="E110" i="8"/>
  <c r="I105" i="8"/>
  <c r="I104" i="8"/>
  <c r="E103" i="8"/>
  <c r="I94" i="8"/>
  <c r="I93" i="8"/>
  <c r="H93" i="8"/>
  <c r="G92" i="8"/>
  <c r="G91" i="8" s="1"/>
  <c r="G89" i="8" s="1"/>
  <c r="G88" i="8" s="1"/>
  <c r="E92" i="8"/>
  <c r="E91" i="8" s="1"/>
  <c r="I85" i="8"/>
  <c r="I84" i="8"/>
  <c r="H84" i="8"/>
  <c r="I83" i="8"/>
  <c r="H83" i="8"/>
  <c r="G82" i="8"/>
  <c r="G81" i="8" s="1"/>
  <c r="E82" i="8"/>
  <c r="E81" i="8" s="1"/>
  <c r="I80" i="8"/>
  <c r="G79" i="8"/>
  <c r="E79" i="8"/>
  <c r="I78" i="8"/>
  <c r="H78" i="8"/>
  <c r="G77" i="8"/>
  <c r="E77" i="8"/>
  <c r="I75" i="8"/>
  <c r="H75" i="8"/>
  <c r="I74" i="8"/>
  <c r="I71" i="8"/>
  <c r="G70" i="8"/>
  <c r="E70" i="8"/>
  <c r="E69" i="8" s="1"/>
  <c r="I68" i="8"/>
  <c r="G67" i="8"/>
  <c r="E67" i="8"/>
  <c r="I66" i="8"/>
  <c r="G65" i="8"/>
  <c r="E65" i="8"/>
  <c r="I55" i="8"/>
  <c r="I53" i="8"/>
  <c r="I52" i="8"/>
  <c r="I49" i="8"/>
  <c r="G47" i="8"/>
  <c r="G46" i="8" s="1"/>
  <c r="I40" i="8"/>
  <c r="H40" i="8"/>
  <c r="I37" i="8"/>
  <c r="H37" i="8"/>
  <c r="I36" i="8"/>
  <c r="H36" i="8"/>
  <c r="I35" i="8"/>
  <c r="I34" i="8"/>
  <c r="H34" i="8"/>
  <c r="I28" i="8"/>
  <c r="H28" i="8"/>
  <c r="I19" i="8"/>
  <c r="H19" i="8"/>
  <c r="I16" i="8"/>
  <c r="I15" i="8"/>
  <c r="H15" i="8"/>
  <c r="H12" i="8"/>
  <c r="I12" i="8"/>
  <c r="H9" i="8"/>
  <c r="L7" i="9"/>
  <c r="L8" i="9"/>
  <c r="K7" i="9"/>
  <c r="K9" i="9"/>
  <c r="K10" i="9"/>
  <c r="K8" i="9"/>
  <c r="H7" i="9"/>
  <c r="I7" i="9"/>
  <c r="J7" i="9"/>
  <c r="G7" i="9"/>
  <c r="H8" i="9"/>
  <c r="I8" i="9"/>
  <c r="J8" i="9"/>
  <c r="G8" i="9"/>
  <c r="H9" i="9"/>
  <c r="I9" i="9"/>
  <c r="J9" i="9"/>
  <c r="G9" i="9"/>
  <c r="E95" i="8" l="1"/>
  <c r="I155" i="8"/>
  <c r="E152" i="8"/>
  <c r="I89" i="8"/>
  <c r="D126" i="8"/>
  <c r="D125" i="8" s="1"/>
  <c r="E125" i="8"/>
  <c r="F6" i="8"/>
  <c r="E6" i="8"/>
  <c r="D6" i="8"/>
  <c r="D6" i="11"/>
  <c r="C17" i="11"/>
  <c r="C6" i="11" s="1"/>
  <c r="H19" i="11"/>
  <c r="G19" i="11"/>
  <c r="H26" i="11"/>
  <c r="G26" i="11"/>
  <c r="G15" i="11"/>
  <c r="G10" i="11"/>
  <c r="F7" i="11"/>
  <c r="F17" i="11"/>
  <c r="H15" i="11"/>
  <c r="H18" i="11"/>
  <c r="H8" i="11"/>
  <c r="H135" i="8"/>
  <c r="D140" i="8"/>
  <c r="H29" i="8"/>
  <c r="D76" i="8"/>
  <c r="H30" i="8"/>
  <c r="I134" i="8"/>
  <c r="I29" i="8"/>
  <c r="I30" i="8"/>
  <c r="I70" i="8"/>
  <c r="I67" i="8"/>
  <c r="D64" i="8"/>
  <c r="D47" i="8"/>
  <c r="D46" i="8" s="1"/>
  <c r="E109" i="8"/>
  <c r="I79" i="8"/>
  <c r="H134" i="8"/>
  <c r="D103" i="8"/>
  <c r="D95" i="8" s="1"/>
  <c r="D110" i="8"/>
  <c r="D109" i="8" s="1"/>
  <c r="I69" i="8"/>
  <c r="I54" i="8"/>
  <c r="G140" i="8"/>
  <c r="H143" i="8"/>
  <c r="H121" i="8"/>
  <c r="I122" i="8"/>
  <c r="I121" i="8"/>
  <c r="I91" i="8"/>
  <c r="I92" i="8"/>
  <c r="E76" i="8"/>
  <c r="G76" i="8"/>
  <c r="I77" i="8"/>
  <c r="E64" i="8"/>
  <c r="G64" i="8"/>
  <c r="D69" i="8"/>
  <c r="H39" i="8"/>
  <c r="I39" i="8"/>
  <c r="I32" i="8"/>
  <c r="H14" i="8"/>
  <c r="H33" i="8"/>
  <c r="G13" i="8"/>
  <c r="G6" i="8" s="1"/>
  <c r="I137" i="8"/>
  <c r="H137" i="8"/>
  <c r="H82" i="8"/>
  <c r="I126" i="8"/>
  <c r="G125" i="8"/>
  <c r="I81" i="8"/>
  <c r="H81" i="8"/>
  <c r="H92" i="8"/>
  <c r="H91" i="8"/>
  <c r="G103" i="8"/>
  <c r="G102" i="8" s="1"/>
  <c r="I48" i="8"/>
  <c r="I82" i="8"/>
  <c r="H138" i="8"/>
  <c r="I65" i="8"/>
  <c r="H94" i="8"/>
  <c r="I138" i="8"/>
  <c r="I128" i="8"/>
  <c r="E47" i="8"/>
  <c r="E46" i="8" s="1"/>
  <c r="H112" i="8"/>
  <c r="H115" i="8"/>
  <c r="H141" i="8"/>
  <c r="I152" i="8"/>
  <c r="H77" i="8"/>
  <c r="G110" i="8"/>
  <c r="I141" i="8"/>
  <c r="H139" i="8"/>
  <c r="H7" i="8"/>
  <c r="I7" i="8"/>
  <c r="I11" i="8"/>
  <c r="H11" i="8"/>
  <c r="I38" i="8"/>
  <c r="I26" i="8"/>
  <c r="H26" i="8"/>
  <c r="I17" i="8"/>
  <c r="H17" i="8"/>
  <c r="H35" i="8"/>
  <c r="H8" i="8"/>
  <c r="I14" i="8"/>
  <c r="H18" i="8"/>
  <c r="H32" i="8"/>
  <c r="I18" i="8"/>
  <c r="H38" i="8"/>
  <c r="I8" i="8"/>
  <c r="H27" i="8"/>
  <c r="I27" i="8"/>
  <c r="I9" i="8"/>
  <c r="I33" i="8"/>
  <c r="I102" i="8" l="1"/>
  <c r="I125" i="8"/>
  <c r="I88" i="8"/>
  <c r="H88" i="8"/>
  <c r="H47" i="8"/>
  <c r="I58" i="8"/>
  <c r="H76" i="8"/>
  <c r="H7" i="11"/>
  <c r="F6" i="11"/>
  <c r="G7" i="11"/>
  <c r="G18" i="11"/>
  <c r="H17" i="11"/>
  <c r="G17" i="11"/>
  <c r="I64" i="8"/>
  <c r="H140" i="8"/>
  <c r="I76" i="8"/>
  <c r="I140" i="8"/>
  <c r="H69" i="8"/>
  <c r="H64" i="8"/>
  <c r="D45" i="8"/>
  <c r="H13" i="8"/>
  <c r="I13" i="8"/>
  <c r="I103" i="8"/>
  <c r="I47" i="8"/>
  <c r="I118" i="8"/>
  <c r="H118" i="8"/>
  <c r="I110" i="8"/>
  <c r="H110" i="8"/>
  <c r="G109" i="8"/>
  <c r="I46" i="8"/>
  <c r="H46" i="8"/>
  <c r="I10" i="8"/>
  <c r="H10" i="8"/>
  <c r="I96" i="8" l="1"/>
  <c r="G95" i="8"/>
  <c r="I107" i="8"/>
  <c r="G106" i="8"/>
  <c r="G45" i="8" s="1"/>
  <c r="I45" i="8" s="1"/>
  <c r="I57" i="8"/>
  <c r="H6" i="11"/>
  <c r="G6" i="11"/>
  <c r="H109" i="8"/>
  <c r="I109" i="8"/>
  <c r="H6" i="8"/>
  <c r="I6" i="8"/>
  <c r="H45" i="8" l="1"/>
  <c r="I95" i="8"/>
  <c r="H95" i="8"/>
  <c r="H106" i="8"/>
  <c r="I106" i="8"/>
  <c r="I8" i="12"/>
  <c r="I7" i="12"/>
  <c r="L125" i="3"/>
  <c r="L126" i="3"/>
  <c r="L127" i="3"/>
  <c r="L128" i="3"/>
  <c r="L129" i="3"/>
  <c r="L130" i="3"/>
  <c r="L131" i="3"/>
  <c r="L132" i="3"/>
  <c r="K126" i="3"/>
  <c r="K127" i="3"/>
  <c r="K128" i="3"/>
  <c r="K129" i="3"/>
  <c r="K130" i="3"/>
  <c r="K131" i="3"/>
  <c r="K132" i="3"/>
  <c r="L122" i="3"/>
  <c r="K116" i="3"/>
  <c r="K114" i="3"/>
  <c r="K105" i="3"/>
  <c r="K106" i="3"/>
  <c r="K107" i="3"/>
  <c r="K104" i="3"/>
  <c r="K102" i="3"/>
  <c r="K101" i="3"/>
  <c r="I92" i="3"/>
  <c r="I77" i="3"/>
  <c r="I78" i="3"/>
  <c r="I80" i="3"/>
  <c r="I71" i="3"/>
  <c r="I54" i="3"/>
  <c r="H71" i="3"/>
  <c r="H92" i="3"/>
  <c r="H112" i="3"/>
  <c r="H80" i="3"/>
  <c r="H78" i="3"/>
  <c r="H73" i="3" s="1"/>
  <c r="H77" i="3"/>
  <c r="H120" i="3"/>
  <c r="I120" i="3"/>
  <c r="H121" i="3"/>
  <c r="I121" i="3"/>
  <c r="H54" i="3"/>
  <c r="K33" i="3"/>
  <c r="L17" i="3"/>
  <c r="L21" i="3"/>
  <c r="L22" i="3"/>
  <c r="L19" i="3"/>
  <c r="K22" i="3"/>
  <c r="K21" i="3"/>
  <c r="K19" i="3"/>
  <c r="K17" i="3"/>
  <c r="K16" i="3"/>
  <c r="I22" i="3"/>
  <c r="I21" i="3"/>
  <c r="I20" i="3" s="1"/>
  <c r="H22" i="3"/>
  <c r="H21" i="3"/>
  <c r="H124" i="3"/>
  <c r="I124" i="3"/>
  <c r="L124" i="3" s="1"/>
  <c r="J124" i="3"/>
  <c r="J120" i="3"/>
  <c r="J121" i="3"/>
  <c r="G119" i="3"/>
  <c r="H113" i="3"/>
  <c r="I113" i="3"/>
  <c r="I112" i="3" s="1"/>
  <c r="J113" i="3"/>
  <c r="H61" i="3"/>
  <c r="I61" i="3"/>
  <c r="J61" i="3"/>
  <c r="H109" i="3"/>
  <c r="H108" i="3" s="1"/>
  <c r="I109" i="3"/>
  <c r="I108" i="3" s="1"/>
  <c r="J109" i="3"/>
  <c r="G109" i="3"/>
  <c r="H37" i="3"/>
  <c r="H36" i="3" s="1"/>
  <c r="I37" i="3"/>
  <c r="I36" i="3" s="1"/>
  <c r="J37" i="3"/>
  <c r="H30" i="3"/>
  <c r="I30" i="3"/>
  <c r="J30" i="3"/>
  <c r="H33" i="3"/>
  <c r="I33" i="3"/>
  <c r="J33" i="3"/>
  <c r="H134" i="3"/>
  <c r="H133" i="3" s="1"/>
  <c r="I134" i="3"/>
  <c r="I133" i="3" s="1"/>
  <c r="J134" i="3"/>
  <c r="H131" i="3"/>
  <c r="I131" i="3"/>
  <c r="J131" i="3"/>
  <c r="H129" i="3"/>
  <c r="I129" i="3"/>
  <c r="J129" i="3"/>
  <c r="H103" i="3"/>
  <c r="I103" i="3"/>
  <c r="J103" i="3"/>
  <c r="H100" i="3"/>
  <c r="I100" i="3"/>
  <c r="J100" i="3"/>
  <c r="H94" i="3"/>
  <c r="H93" i="3" s="1"/>
  <c r="I94" i="3"/>
  <c r="I93" i="3" s="1"/>
  <c r="J94" i="3"/>
  <c r="J93" i="3" s="1"/>
  <c r="H85" i="3"/>
  <c r="I85" i="3"/>
  <c r="J85" i="3"/>
  <c r="I73" i="3"/>
  <c r="J73" i="3"/>
  <c r="H66" i="3"/>
  <c r="I66" i="3"/>
  <c r="J66" i="3"/>
  <c r="H57" i="3"/>
  <c r="I57" i="3"/>
  <c r="J57" i="3"/>
  <c r="H55" i="3"/>
  <c r="I55" i="3"/>
  <c r="J55" i="3"/>
  <c r="G55" i="3"/>
  <c r="H53" i="3"/>
  <c r="I53" i="3"/>
  <c r="J53" i="3"/>
  <c r="H27" i="3"/>
  <c r="H26" i="3" s="1"/>
  <c r="I27" i="3"/>
  <c r="I26" i="3" s="1"/>
  <c r="J27" i="3"/>
  <c r="J26" i="3" s="1"/>
  <c r="H24" i="3"/>
  <c r="H23" i="3" s="1"/>
  <c r="I24" i="3"/>
  <c r="I23" i="3" s="1"/>
  <c r="J24" i="3"/>
  <c r="H13" i="3"/>
  <c r="I13" i="3"/>
  <c r="J13" i="3"/>
  <c r="G13" i="3"/>
  <c r="H20" i="3"/>
  <c r="J20" i="3"/>
  <c r="H18" i="3"/>
  <c r="I18" i="3"/>
  <c r="J18" i="3"/>
  <c r="H15" i="3"/>
  <c r="I15" i="3"/>
  <c r="J15" i="3"/>
  <c r="G134" i="3"/>
  <c r="G133" i="3" s="1"/>
  <c r="G131" i="3"/>
  <c r="G129" i="3"/>
  <c r="G124" i="3"/>
  <c r="K124" i="3" s="1"/>
  <c r="G113" i="3"/>
  <c r="G112" i="3" s="1"/>
  <c r="G103" i="3"/>
  <c r="G100" i="3"/>
  <c r="G94" i="3"/>
  <c r="G93" i="3" s="1"/>
  <c r="G91" i="3"/>
  <c r="G85" i="3" s="1"/>
  <c r="G73" i="3"/>
  <c r="G66" i="3"/>
  <c r="G61" i="3"/>
  <c r="G57" i="3"/>
  <c r="G53" i="3"/>
  <c r="G37" i="3"/>
  <c r="G36" i="3" s="1"/>
  <c r="G33" i="3"/>
  <c r="G30" i="3"/>
  <c r="G27" i="3"/>
  <c r="G24" i="3"/>
  <c r="G23" i="3" s="1"/>
  <c r="G20" i="3"/>
  <c r="G18" i="3"/>
  <c r="G15" i="3"/>
  <c r="L135" i="3"/>
  <c r="K135" i="3"/>
  <c r="K125" i="3"/>
  <c r="L118" i="3"/>
  <c r="L117" i="3"/>
  <c r="K117" i="3"/>
  <c r="L116" i="3"/>
  <c r="L115" i="3"/>
  <c r="K115" i="3"/>
  <c r="L114" i="3"/>
  <c r="L111" i="3"/>
  <c r="K111" i="3"/>
  <c r="L110" i="3"/>
  <c r="K110" i="3"/>
  <c r="L107" i="3"/>
  <c r="L106" i="3"/>
  <c r="L105" i="3"/>
  <c r="L104" i="3"/>
  <c r="L102" i="3"/>
  <c r="L101" i="3"/>
  <c r="L99" i="3"/>
  <c r="K99" i="3"/>
  <c r="L98" i="3"/>
  <c r="K98" i="3"/>
  <c r="L97" i="3"/>
  <c r="K97" i="3"/>
  <c r="L96" i="3"/>
  <c r="K96" i="3"/>
  <c r="L92" i="3"/>
  <c r="K92" i="3"/>
  <c r="L91" i="3"/>
  <c r="L90" i="3"/>
  <c r="K90" i="3"/>
  <c r="L89" i="3"/>
  <c r="K89" i="3"/>
  <c r="L88" i="3"/>
  <c r="K88" i="3"/>
  <c r="L87" i="3"/>
  <c r="K87" i="3"/>
  <c r="L86" i="3"/>
  <c r="K86" i="3"/>
  <c r="L82" i="3"/>
  <c r="K82" i="3"/>
  <c r="L81" i="3"/>
  <c r="K81" i="3"/>
  <c r="L80" i="3"/>
  <c r="K80" i="3"/>
  <c r="L79" i="3"/>
  <c r="K79" i="3"/>
  <c r="L78" i="3"/>
  <c r="K78" i="3"/>
  <c r="L77" i="3"/>
  <c r="K77" i="3"/>
  <c r="L76" i="3"/>
  <c r="L75" i="3"/>
  <c r="K75" i="3"/>
  <c r="L74" i="3"/>
  <c r="K74" i="3"/>
  <c r="L72" i="3"/>
  <c r="K72" i="3"/>
  <c r="L71" i="3"/>
  <c r="K71" i="3"/>
  <c r="L70" i="3"/>
  <c r="K70" i="3"/>
  <c r="L69" i="3"/>
  <c r="K69" i="3"/>
  <c r="L68" i="3"/>
  <c r="K68" i="3"/>
  <c r="L67" i="3"/>
  <c r="K67" i="3"/>
  <c r="L65" i="3"/>
  <c r="K65" i="3"/>
  <c r="L64" i="3"/>
  <c r="K64" i="3"/>
  <c r="L63" i="3"/>
  <c r="K63" i="3"/>
  <c r="L62" i="3"/>
  <c r="K62" i="3"/>
  <c r="L59" i="3"/>
  <c r="K59" i="3"/>
  <c r="K58" i="3"/>
  <c r="L58" i="3"/>
  <c r="L56" i="3"/>
  <c r="L54" i="3"/>
  <c r="K54" i="3"/>
  <c r="L43" i="3"/>
  <c r="K43" i="3"/>
  <c r="L42" i="3"/>
  <c r="L41" i="3"/>
  <c r="L39" i="3"/>
  <c r="L38" i="3"/>
  <c r="L35" i="3"/>
  <c r="L34" i="3"/>
  <c r="L32" i="3"/>
  <c r="L31" i="3"/>
  <c r="K31" i="3"/>
  <c r="L28" i="3"/>
  <c r="K28" i="3"/>
  <c r="L25" i="3"/>
  <c r="L16" i="3"/>
  <c r="L20" i="1"/>
  <c r="K20" i="1"/>
  <c r="H123" i="3" l="1"/>
  <c r="H119" i="3" s="1"/>
  <c r="L113" i="3"/>
  <c r="L73" i="3"/>
  <c r="K55" i="3"/>
  <c r="K91" i="3"/>
  <c r="L57" i="3"/>
  <c r="G52" i="3"/>
  <c r="L85" i="3"/>
  <c r="L15" i="3"/>
  <c r="I29" i="3"/>
  <c r="L24" i="3"/>
  <c r="L30" i="3"/>
  <c r="L109" i="3"/>
  <c r="H29" i="3"/>
  <c r="K27" i="3"/>
  <c r="G123" i="3"/>
  <c r="G29" i="3"/>
  <c r="L33" i="3"/>
  <c r="H12" i="3"/>
  <c r="J108" i="3"/>
  <c r="L108" i="3" s="1"/>
  <c r="L26" i="3"/>
  <c r="L100" i="3"/>
  <c r="G12" i="3"/>
  <c r="K37" i="3"/>
  <c r="L134" i="3"/>
  <c r="J112" i="3"/>
  <c r="L112" i="3" s="1"/>
  <c r="K113" i="3"/>
  <c r="H60" i="3"/>
  <c r="K57" i="3"/>
  <c r="G108" i="3"/>
  <c r="K109" i="3"/>
  <c r="J36" i="3"/>
  <c r="J29" i="3"/>
  <c r="L27" i="3"/>
  <c r="J133" i="3"/>
  <c r="L133" i="3" s="1"/>
  <c r="I123" i="3"/>
  <c r="I119" i="3" s="1"/>
  <c r="J123" i="3"/>
  <c r="J119" i="3" s="1"/>
  <c r="J60" i="3"/>
  <c r="I60" i="3"/>
  <c r="L66" i="3"/>
  <c r="H52" i="3"/>
  <c r="J52" i="3"/>
  <c r="I52" i="3"/>
  <c r="I51" i="3" s="1"/>
  <c r="L53" i="3"/>
  <c r="J23" i="3"/>
  <c r="I12" i="3"/>
  <c r="J12" i="3"/>
  <c r="G60" i="3"/>
  <c r="G26" i="3"/>
  <c r="K26" i="3" s="1"/>
  <c r="L61" i="3"/>
  <c r="K30" i="3"/>
  <c r="L93" i="3"/>
  <c r="K93" i="3"/>
  <c r="K15" i="3"/>
  <c r="K94" i="3"/>
  <c r="K35" i="3"/>
  <c r="L37" i="3"/>
  <c r="K66" i="3"/>
  <c r="L94" i="3"/>
  <c r="L55" i="3"/>
  <c r="K76" i="3"/>
  <c r="K38" i="3"/>
  <c r="K73" i="3"/>
  <c r="K85" i="3"/>
  <c r="K25" i="3"/>
  <c r="K53" i="3"/>
  <c r="K56" i="3"/>
  <c r="K134" i="3"/>
  <c r="K24" i="3"/>
  <c r="H51" i="3" l="1"/>
  <c r="H50" i="3" s="1"/>
  <c r="I11" i="3"/>
  <c r="I10" i="3" s="1"/>
  <c r="K108" i="3"/>
  <c r="L12" i="3"/>
  <c r="H11" i="3"/>
  <c r="H10" i="3" s="1"/>
  <c r="L60" i="3"/>
  <c r="I50" i="3"/>
  <c r="G11" i="3"/>
  <c r="G10" i="3" s="1"/>
  <c r="K133" i="3"/>
  <c r="K112" i="3"/>
  <c r="J51" i="3"/>
  <c r="J50" i="3" s="1"/>
  <c r="L52" i="3"/>
  <c r="G51" i="3"/>
  <c r="G50" i="3" s="1"/>
  <c r="J11" i="3"/>
  <c r="J10" i="3" s="1"/>
  <c r="L36" i="3"/>
  <c r="K36" i="3"/>
  <c r="L29" i="3"/>
  <c r="K29" i="3"/>
  <c r="K60" i="3"/>
  <c r="K61" i="3"/>
  <c r="L23" i="3"/>
  <c r="K23" i="3"/>
  <c r="K52" i="3"/>
  <c r="L123" i="3"/>
  <c r="K123" i="3"/>
  <c r="K12" i="3"/>
  <c r="K11" i="3" l="1"/>
  <c r="L11" i="3"/>
  <c r="L51" i="3"/>
  <c r="L50" i="3"/>
  <c r="K119" i="3"/>
  <c r="L119" i="3"/>
  <c r="L10" i="3"/>
  <c r="K10" i="3"/>
  <c r="K50" i="3" l="1"/>
  <c r="K51" i="3"/>
  <c r="K9" i="1" l="1"/>
  <c r="L9" i="1"/>
  <c r="K12" i="1"/>
  <c r="L12" i="1"/>
  <c r="L14" i="1"/>
  <c r="L13" i="1"/>
  <c r="K14" i="1"/>
  <c r="K13" i="1"/>
  <c r="L10" i="1"/>
  <c r="K10" i="1"/>
  <c r="J12" i="1"/>
  <c r="H15" i="1" l="1"/>
  <c r="I15" i="1"/>
  <c r="H12" i="1"/>
  <c r="I12" i="1"/>
  <c r="J22" i="1"/>
  <c r="I22" i="1"/>
  <c r="H22" i="1"/>
  <c r="G22" i="1"/>
  <c r="H9" i="1"/>
  <c r="I9" i="1"/>
  <c r="J9" i="1"/>
  <c r="G12" i="1"/>
  <c r="G9" i="1"/>
  <c r="G15" i="1" s="1"/>
  <c r="J15" i="1" l="1"/>
</calcChain>
</file>

<file path=xl/sharedStrings.xml><?xml version="1.0" encoding="utf-8"?>
<sst xmlns="http://schemas.openxmlformats.org/spreadsheetml/2006/main" count="448" uniqueCount="252">
  <si>
    <t>PRIHODI UKUPNO</t>
  </si>
  <si>
    <t>RASHODI UKUPNO</t>
  </si>
  <si>
    <t>Prihodi poslovanja</t>
  </si>
  <si>
    <t>Prihodi od prodaje nefinancijske imovine</t>
  </si>
  <si>
    <t>Rashodi poslovanja</t>
  </si>
  <si>
    <t>Rashodi za zaposlene</t>
  </si>
  <si>
    <t>Rashodi za nabavu nefinancijske imovine</t>
  </si>
  <si>
    <t>Rashodi za nabavu neproizvedene dugotrajne imovine</t>
  </si>
  <si>
    <t>BROJČANA OZNAKA I NAZIV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</si>
  <si>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</si>
  <si>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</si>
  <si>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</si>
  <si>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</si>
  <si>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</si>
  <si>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</si>
  <si>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</si>
  <si>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…</t>
  </si>
  <si>
    <t>INDEKS</t>
  </si>
  <si>
    <t xml:space="preserve">IZVJEŠTAJ O PRIHODIMA I RASHODIMA PREMA EKONOMSKOJ KLASIFIKACIJI </t>
  </si>
  <si>
    <t>6=5/2*100</t>
  </si>
  <si>
    <t>7=5/4*100</t>
  </si>
  <si>
    <t>Pomoći iz inozemstva i od subjekata unutar općeg proračuna</t>
  </si>
  <si>
    <t xml:space="preserve"> Prihodi od prodaje proizvoda i robe te pruženih usluga i prihodi od donacija</t>
  </si>
  <si>
    <t>Prihodi od prodaje proizvoda i robe</t>
  </si>
  <si>
    <t>….</t>
  </si>
  <si>
    <t>Prihodi od prodaje građevinskih objekata</t>
  </si>
  <si>
    <t>Stambeni objekti</t>
  </si>
  <si>
    <t>Plaće (Bruto)</t>
  </si>
  <si>
    <t>Plaće za redovan rad</t>
  </si>
  <si>
    <t>Naknade troškova zaposlenima</t>
  </si>
  <si>
    <t>Službena putovanja</t>
  </si>
  <si>
    <t>Materijalna imovina - prirodna bogatstva</t>
  </si>
  <si>
    <t>Zemljište</t>
  </si>
  <si>
    <t>UKUPNO RASHODI</t>
  </si>
  <si>
    <t>IZVJEŠTAJ O PRIHODIMA I RASHODIMA PREMA IZVORIMA FINANCIRANJA</t>
  </si>
  <si>
    <t xml:space="preserve">IZVJEŠTAJ RAČUNA FINANCIRANJA PREMA EKONOMSKOJ KLASIFIKACIJI </t>
  </si>
  <si>
    <t>Otplata glavnice primljenih kredita i zajmova od međunarodnih organizacija, institucija i tijela EU te inozemnih vlada</t>
  </si>
  <si>
    <t>Otplata glavnice primljenih zajmova od međunarodnih organizacija</t>
  </si>
  <si>
    <t>IZVJEŠTAJ O RASHODIMA PREMA FUNKCIJSKOJ KLASIFIKACIJI</t>
  </si>
  <si>
    <t>5=4/3*100</t>
  </si>
  <si>
    <t>INDEKS**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</si>
  <si>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</si>
  <si>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</si>
  <si>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</si>
  <si>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</si>
  <si>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</si>
  <si>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7 PRIHODI OD PRODAJE NEFINANCIJSKE IMOVINE</t>
  </si>
  <si>
    <t>RAZLIKA PRIMITAKA I IZDATAKA</t>
  </si>
  <si>
    <t>SAŽETAK  RAČUNA PRIHODA I RASHODA I  RAČUNA FINANCIRANJA</t>
  </si>
  <si>
    <t>SAŽETAK  RAČUNA PRIHODA I RASHODA</t>
  </si>
  <si>
    <t>RAZLIKA - VIŠAK MANJAK</t>
  </si>
  <si>
    <t>SAŽETAK RAČUNA FINANCIRANJA</t>
  </si>
  <si>
    <t>PRENESENI VIŠAK/MANJAK IZ PRETHODNE GODINE</t>
  </si>
  <si>
    <t>PRIJENOS  VIŠKA/MANJKA U SLJEDEĆE RAZDOBLJE</t>
  </si>
  <si>
    <t xml:space="preserve"> RAČUN PRIHODA I RASHODA </t>
  </si>
  <si>
    <t xml:space="preserve"> RAČUN FINANCIRANJA</t>
  </si>
  <si>
    <t>IZVJEŠTAJ PO PROGRAMSKOJ KLASIFIKACIJI</t>
  </si>
  <si>
    <t>SAŽETAK  RAČUNA PRIHODA I RASHODA I  RAČUNA FINANCIRANJA  može sadržavati i dodatne podatke.</t>
  </si>
  <si>
    <t>Napomena:  Iznosi u stupcu "OSTVARENJE/IZVRŠENJE N-1." preračunavaju se iz kuna u eure prema fiksnom tečaju konverzije (1 EUR=7,53450 kuna) i po pravilima za preračunavanje i zaokruživanje.</t>
  </si>
  <si>
    <t xml:space="preserve">Napomena : "N" označava razdoblje </t>
  </si>
  <si>
    <t xml:space="preserve">* Opći i posebni dio izvještaja o izvršenju proračuna sadrži samo izvorni plan ako od donošenja proračuna nije bilo izmjena i dopuna niti izvršenih preraspodjela odnosno izvorni plan i tekući plan ako je od donošenja proračuna bilo naknadno izvršenih preraspodjela.  
Opći i posebni dio izvještaja o izvršenju proračuna sadrži rebalans ako je od donošenja proračuna bilo izmjena i dopuna, odnosno rebalans i tekući plan ako je od izmjena i dopuna proračuna bilo naknadno izvršenih preraspodjela. </t>
  </si>
  <si>
    <t xml:space="preserve">** AKO Opći i Posebni dio izvještaja ne sadrži "TEKUĆI PLAN N.", "INDEKS"("OSTVARENJE/IZVRŠENJE N."/"TEKUĆI PLAN N.") iskazuje se kao "OSTVARENJE/IZVRŠENJE N."/"IZVORNI PLAN N." ODNOSNO "REBALANS N." </t>
  </si>
  <si>
    <t>IZVJEŠTAJ O IZVRŠENJU FINANCIJSKOG PLANA PRORAČUNSKOG KORISNIKA JEDINICE LOKALNE I PODRUČNE (REGIONALNE) SAMOUPRAVE ZA 2024. GODINU ZA OBRTNA TEHNIČKA ŠKOLA SPLIT</t>
  </si>
  <si>
    <t xml:space="preserve">OSTVARENJE/IZVRŠENJE 
2023. </t>
  </si>
  <si>
    <t>IZVORNI PLAN ILI REBALANS 2024.*</t>
  </si>
  <si>
    <t>TEKUĆI PLAN 2024.*</t>
  </si>
  <si>
    <t xml:space="preserve">OSTVARENJE/IZVRŠENJE 
2024. </t>
  </si>
  <si>
    <t xml:space="preserve">OSTVARENJE/IZVRŠENJE 
1.-12.2023. </t>
  </si>
  <si>
    <t>UKUPNO PRIHODI</t>
  </si>
  <si>
    <t>Pomoći od međunarodnih organizacija te institucija i tijela EU</t>
  </si>
  <si>
    <t>Tekuće pomoći od međunarodnih organizacija</t>
  </si>
  <si>
    <t>Pomoći proračunskim korisnicima</t>
  </si>
  <si>
    <t>Tekuće pomoći proračunskim korisnicima</t>
  </si>
  <si>
    <t>Kapitalne pomoći proračunskim korisnicima</t>
  </si>
  <si>
    <t>Pomoći temeljem prijenosa EU sredstava</t>
  </si>
  <si>
    <t>Tekuće pomoći temeljem prijenosa EU sredstava</t>
  </si>
  <si>
    <t>Prijenosi između proračunskih korisnika istog proračuna</t>
  </si>
  <si>
    <t>Tekući prijenosi između proračunskih korisnika istog proračuna</t>
  </si>
  <si>
    <t>Tekući prijenosi između proračunskih korisnika istog proračuna temeljem prijenosa EU sredstava</t>
  </si>
  <si>
    <t>Prihodi od imovine</t>
  </si>
  <si>
    <t>Prihodi od financijske imovine</t>
  </si>
  <si>
    <t>Kamate na oročena sredstva i depozite po viđenju</t>
  </si>
  <si>
    <t>Prihodi po posebnin propisima</t>
  </si>
  <si>
    <t>Ostali nespomenuti prihodi</t>
  </si>
  <si>
    <t>Donacije od pravnih i fizičkih osoba</t>
  </si>
  <si>
    <t>Tekuće donacije</t>
  </si>
  <si>
    <t>Kapitalne donacije</t>
  </si>
  <si>
    <t>Prihodi od prodaje proizvoda,roba te pruž.usluga</t>
  </si>
  <si>
    <t>Prihodi od pruženih usluga</t>
  </si>
  <si>
    <t>Prihodi iz nadležnog proračuna proračuna</t>
  </si>
  <si>
    <t xml:space="preserve">Prihodi iz nadležnog  proračuna </t>
  </si>
  <si>
    <t>Prihodi iz nadležnog proračuna za financ.</t>
  </si>
  <si>
    <t>Prihodi od prodaje proizv.dugotrajne imovine</t>
  </si>
  <si>
    <t>Ostali rashodi za zaposlene</t>
  </si>
  <si>
    <t>Doprinosi na plaću</t>
  </si>
  <si>
    <t>Doprinosi za zdravstveno osiguranje</t>
  </si>
  <si>
    <t>Doprinosi za zapošljavanje</t>
  </si>
  <si>
    <t>Naknada za prijevoz</t>
  </si>
  <si>
    <t>Stručno usavršavanje zaposlenika</t>
  </si>
  <si>
    <t>Ostale naknade troškova zaposlenima</t>
  </si>
  <si>
    <t>Rashodi za materijal i energiju</t>
  </si>
  <si>
    <t>Uredski materijal</t>
  </si>
  <si>
    <t>Materijal i sirovine</t>
  </si>
  <si>
    <t>Energija</t>
  </si>
  <si>
    <t>Sitni inventar i auto gume</t>
  </si>
  <si>
    <t>Materijal i dijelovi za tekuće i investicijsko održavanje</t>
  </si>
  <si>
    <t>Službena, radna i zaštitna odjeća i obuča</t>
  </si>
  <si>
    <t>Rashodi za usluge</t>
  </si>
  <si>
    <t>Usluge telefona, pošte i prijevoza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</si>
  <si>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</si>
  <si>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</si>
  <si>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</si>
  <si>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</si>
  <si>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</si>
  <si>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</si>
  <si>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</si>
  <si>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Naknade troškova osobama izvan radnog odnosa</t>
  </si>
  <si>
    <t>Ostali nespomenuti rashodi poslovanja</t>
  </si>
  <si>
    <t>Naknade za rad predstavničkih i izvršnih tijela, povjerenstava i slično</t>
  </si>
  <si>
    <t>Premije osiguranja</t>
  </si>
  <si>
    <t>Reprezentacija</t>
  </si>
  <si>
    <t>Članarine i norme</t>
  </si>
  <si>
    <t>Pristojbe i naknade</t>
  </si>
  <si>
    <t>Troškovi sudskih postupaka</t>
  </si>
  <si>
    <t>Financijski rashodi</t>
  </si>
  <si>
    <t>Ostali financijsku rashodi</t>
  </si>
  <si>
    <t>Kamate za primljene kredite I zajmove od kreditnih I ostalih financijskih institucija izvan jevnog sektora</t>
  </si>
  <si>
    <t>Bankarske usluge i usluge platnog prometa</t>
  </si>
  <si>
    <t>Negativne tečajne razlike</t>
  </si>
  <si>
    <t>Zatezne kamate</t>
  </si>
  <si>
    <t>Ostali nespomenuti financijski rashodi</t>
  </si>
  <si>
    <t>Subvencije</t>
  </si>
  <si>
    <t>Subvencije trgovačkim društvima I zadrugama izvan javnog sekora</t>
  </si>
  <si>
    <t>Subvencije trgovačkim društvima I zadrugama, poljoprivrednicima I obrtnicima iz EU sredstava</t>
  </si>
  <si>
    <t>Pomoći dane u inozemstvo I unutar općeg proračuna</t>
  </si>
  <si>
    <t>Tekuće pomoći proračunskim korisnicima drugih proračuna</t>
  </si>
  <si>
    <t>Naknade građanima i kućanstvima</t>
  </si>
  <si>
    <t>Ostale naknade građanima i kućanstvima iz proračuna</t>
  </si>
  <si>
    <t>Naknade građanima i kućanstvima u novcu</t>
  </si>
  <si>
    <t>Naknade građanima i kućanstvima u naravi</t>
  </si>
  <si>
    <t xml:space="preserve">Ostali rashodi </t>
  </si>
  <si>
    <t>Tekuće donacije u novcu</t>
  </si>
  <si>
    <t>Tekuće donacije u naravi</t>
  </si>
  <si>
    <t>Tekuće donacije iz EU sredstava</t>
  </si>
  <si>
    <t>Kazne,penali i naknade štete</t>
  </si>
  <si>
    <t>Naknade šteta pravnim i fizičkim osobama</t>
  </si>
  <si>
    <t>Rashodi za nabavu proizvedene dugotrajne imovine</t>
  </si>
  <si>
    <t>Postrojena i oprema</t>
  </si>
  <si>
    <t>Uredska oprema i namještaj</t>
  </si>
  <si>
    <t>Komunikacijska oprema</t>
  </si>
  <si>
    <t>Oprema za održavanje i zaštitu</t>
  </si>
  <si>
    <t>Uređji, strojevi I oprema za ostale namjene</t>
  </si>
  <si>
    <t>Prijevozna sredstva</t>
  </si>
  <si>
    <t>Prijevozna sredstva u cestovnom prometu</t>
  </si>
  <si>
    <t>Knjige, umjetnička djela i ostale izložbene vrijednosti</t>
  </si>
  <si>
    <t>Knjige</t>
  </si>
  <si>
    <t>Rashodi za dodatna ulaganja na nefinancijskoj imovini</t>
  </si>
  <si>
    <t>Dodatna ulaganja na građevinskim objektima</t>
  </si>
  <si>
    <t xml:space="preserve">OSTVARENJE/IZVRŠENJE 
1.-12.2024. </t>
  </si>
  <si>
    <t>Usluge tekućeg i investicijskog održavanja</t>
  </si>
  <si>
    <t>IZVJEŠTAJ PO ORGANIZACIJSKOJ KLASIFIKACIJI</t>
  </si>
  <si>
    <t>RAZDJEL 004</t>
  </si>
  <si>
    <t>Upravni odjel za prosvjetu, kulturu, tehničku kulturu i sport</t>
  </si>
  <si>
    <t>GLAVA 004</t>
  </si>
  <si>
    <t>Ustanove u srednjem školstvu</t>
  </si>
  <si>
    <t xml:space="preserve"> IZVRŠENJE 
2024. </t>
  </si>
  <si>
    <t>Primljeni zajmovi od tuzemnih trgovačkih društava izvan javnog sektora</t>
  </si>
  <si>
    <t>Primljeni zajmovi od trgovačkih društava i obrtnika izvan javnog sektora</t>
  </si>
  <si>
    <t>1.1.1 Opći prihodi i primici</t>
  </si>
  <si>
    <t>Prihodi iz nadležnog proračuna</t>
  </si>
  <si>
    <t>4.4.1 Prihodi za posebne namjene-Decentralizacija</t>
  </si>
  <si>
    <t>3.2.1 Vlastiti prihodi</t>
  </si>
  <si>
    <t>Prihodi od prodaje proizvoda</t>
  </si>
  <si>
    <t xml:space="preserve">4.8.1 Prihodi za posebne namjene </t>
  </si>
  <si>
    <t>Prihodi od upravnih i administr. pristojbi, prihodi po posebnim propisima i naknada</t>
  </si>
  <si>
    <t>5.4.1 Pomoći</t>
  </si>
  <si>
    <t>6.2.1 Donacije</t>
  </si>
  <si>
    <t>Prihodi od donacija</t>
  </si>
  <si>
    <t>7.2.1.Prihodi od prodaje nefinancijske imovine</t>
  </si>
  <si>
    <t>5.5.1. Pomoći EU</t>
  </si>
  <si>
    <t>8.2.1. Namjenski primici od zaduživanja PK</t>
  </si>
  <si>
    <t>Ostali rashodi</t>
  </si>
  <si>
    <t>1.2.1 Predfinanciranje EU projekata</t>
  </si>
  <si>
    <t>3.2.2 Vlastiti prihodi - prenesena sredstva</t>
  </si>
  <si>
    <t>4.4.1 Prihodi za posebne namjene - Decentralizacija</t>
  </si>
  <si>
    <t>Pomoći dane u inozemstvo i unutar općeg proračuna</t>
  </si>
  <si>
    <t>5.4.2 Pomoći PK - prenesena sredstva</t>
  </si>
  <si>
    <t>'Materijalni rashodi</t>
  </si>
  <si>
    <t>Rashodi za dodatna ulag.na nefinancij.imovini</t>
  </si>
  <si>
    <t>5.5.2 Pomoći EU - prenesena sredstva</t>
  </si>
  <si>
    <t>6.2.2 Donacije - prenesena sredstva</t>
  </si>
  <si>
    <t>7.2.1 Prihodi od prodaje nefinanc.imovine PK</t>
  </si>
  <si>
    <t>8.2.1 Namjenski primici od zaduživanja PK</t>
  </si>
  <si>
    <t xml:space="preserve">OSTVARENJE/IZVRŠENJE 2023. </t>
  </si>
  <si>
    <t>IZVORNI PLAN ILI REBALANS 2024*</t>
  </si>
  <si>
    <t xml:space="preserve">IZVRŠENJE 
2023. </t>
  </si>
  <si>
    <t xml:space="preserve">IZVRŠENJE 2024. </t>
  </si>
  <si>
    <t>Razvoj odgojno obrazovnog sustava</t>
  </si>
  <si>
    <t>4001A400103</t>
  </si>
  <si>
    <t>Natjecanja, manifestacije i ostalo</t>
  </si>
  <si>
    <t>4001A400104</t>
  </si>
  <si>
    <t>e-Škole</t>
  </si>
  <si>
    <t xml:space="preserve">4001A400115 </t>
  </si>
  <si>
    <t>Osobni pomoćnici i pomoćnici u nastavi</t>
  </si>
  <si>
    <t>4001K400103</t>
  </si>
  <si>
    <t>Uspostava RCK za elektrotehniku I računalstvo SDŽ</t>
  </si>
  <si>
    <t>4001K400104</t>
  </si>
  <si>
    <t>Razvojni centar za elektrotehniku I računalstvo SDŽ</t>
  </si>
  <si>
    <t xml:space="preserve">4001T400103 </t>
  </si>
  <si>
    <t>Čuvari baštine</t>
  </si>
  <si>
    <t>4001T400111</t>
  </si>
  <si>
    <t>Opskrba šk. ustanova hig. potr. za učenice</t>
  </si>
  <si>
    <t>4001T400121</t>
  </si>
  <si>
    <t>Učimo zajedno VI</t>
  </si>
  <si>
    <t>4001T400140</t>
  </si>
  <si>
    <t>Erasmus+</t>
  </si>
  <si>
    <t>Srednjoškolsko obrazovanje</t>
  </si>
  <si>
    <t>4040A404001</t>
  </si>
  <si>
    <t>Rashodi djelatnosti</t>
  </si>
  <si>
    <t>4040A404003</t>
  </si>
  <si>
    <t>Izgradnja i uređenje objekata te nabava i održavanje opreme</t>
  </si>
  <si>
    <t>UKUPNI RASHODI</t>
  </si>
  <si>
    <t>0922 Više srednjoškolsko obrazovanje</t>
  </si>
  <si>
    <t>31 Rashodi za zaposlene</t>
  </si>
  <si>
    <t>32 Materijalni rashodi</t>
  </si>
  <si>
    <t>34 Financijski rashodi</t>
  </si>
  <si>
    <t>35 Subvencije</t>
  </si>
  <si>
    <t>36 Pomoći dane u inozemstvo i unutar općeg proračuan</t>
  </si>
  <si>
    <t>37 Naknade građanima i kućanstvima</t>
  </si>
  <si>
    <t>38 Ostali rashodi</t>
  </si>
  <si>
    <t>42 Rashodi za nabavu nefinancijske imovine</t>
  </si>
  <si>
    <t>45 Rashodi za dodatna ulaganja u nefinancijsku imovinu</t>
  </si>
  <si>
    <t>0960 Dodatne usluge u obrazovanju</t>
  </si>
  <si>
    <t xml:space="preserve">  35 Subvencije</t>
  </si>
  <si>
    <t xml:space="preserve">  36 Pomoći dane u inozemstvo i unutar općeg proračuan</t>
  </si>
  <si>
    <t>42 Rashodi za nabavu proiz. dug. imovine</t>
  </si>
  <si>
    <t xml:space="preserve">  45 Rashodi za dodatna ulaganja u nefinancijsku imovinu</t>
  </si>
  <si>
    <t>5.1.1 Pomoći</t>
  </si>
  <si>
    <t>5.3.1. Pomoći EU</t>
  </si>
  <si>
    <t>1.1.2 Opći prihodi i primici - prenesena sredstva</t>
  </si>
  <si>
    <t>4.4.2 Prihodi za posebne namjene - Decentralizacija prenesena sredstva</t>
  </si>
  <si>
    <t>5.3.2 Pomoći EU -prenesena sredstva</t>
  </si>
  <si>
    <t>4.8.2 Prihodi za posebne namjene PK - prenesena sredstva</t>
  </si>
  <si>
    <t xml:space="preserve">5.1.1 Pomoći </t>
  </si>
  <si>
    <t>5.3.1 Pomoći EU</t>
  </si>
  <si>
    <t>41 Rashodi za nabavu neproiz. dug. imovine</t>
  </si>
  <si>
    <t>Učimo zajedno VII</t>
  </si>
  <si>
    <t>4001T400114</t>
  </si>
  <si>
    <t>CI - Izvannastavna aktivnost</t>
  </si>
  <si>
    <t>4001T400122</t>
  </si>
  <si>
    <t>Prevencija mentalnog zdravlja</t>
  </si>
  <si>
    <t>4001T400160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</si>
</sst>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theme="2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10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b/>
      <sz val="10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8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4">
    <xf numFmtId="0" fontId="0" fillId="0" borderId="0" xfId="0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3" fontId="3" fillId="2" borderId="3" xfId="0" applyNumberFormat="1" applyFont="1" applyFill="1" applyBorder="1" applyAlignment="1">
      <alignment horizontal="right"/>
    </xf>
    <xf numFmtId="0" fontId="11" fillId="2" borderId="3" xfId="0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Font="1" applyAlignment="1">
      <alignment horizontal="left" wrapText="1"/>
    </xf>
    <xf numFmtId="0" fontId="8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0" fontId="11" fillId="3" borderId="1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0" borderId="3" xfId="0" quotePrefix="1" applyFont="1" applyBorder="1" applyAlignment="1">
      <alignment horizontal="center" vertical="center" wrapText="1"/>
    </xf>
    <xf numFmtId="0" fontId="15" fillId="0" borderId="0" xfId="0" applyFont="1"/>
    <xf numFmtId="0" fontId="0" fillId="0" borderId="3" xfId="0" applyBorder="1"/>
    <xf numFmtId="0" fontId="9" fillId="2" borderId="3" xfId="0" quotePrefix="1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 indent="1"/>
    </xf>
    <xf numFmtId="0" fontId="10" fillId="2" borderId="3" xfId="0" applyFont="1" applyFill="1" applyBorder="1" applyAlignment="1">
      <alignment horizontal="left" vertical="center"/>
    </xf>
    <xf numFmtId="0" fontId="1" fillId="0" borderId="0" xfId="0" applyFont="1"/>
    <xf numFmtId="0" fontId="9" fillId="3" borderId="2" xfId="0" applyFont="1" applyFill="1" applyBorder="1" applyAlignment="1">
      <alignment vertical="center"/>
    </xf>
    <xf numFmtId="0" fontId="0" fillId="3" borderId="0" xfId="0" applyFill="1"/>
    <xf numFmtId="0" fontId="6" fillId="3" borderId="3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/>
    <xf numFmtId="0" fontId="3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wrapText="1"/>
    </xf>
    <xf numFmtId="0" fontId="1" fillId="2" borderId="5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center" vertical="center" wrapText="1"/>
    </xf>
    <xf numFmtId="0" fontId="7" fillId="2" borderId="0" xfId="0" quotePrefix="1" applyFont="1" applyFill="1" applyAlignment="1">
      <alignment horizontal="left" wrapText="1"/>
    </xf>
    <xf numFmtId="0" fontId="8" fillId="2" borderId="0" xfId="0" applyFont="1" applyFill="1" applyAlignment="1">
      <alignment wrapText="1"/>
    </xf>
    <xf numFmtId="3" fontId="5" fillId="2" borderId="0" xfId="0" applyNumberFormat="1" applyFont="1" applyFill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6" fillId="0" borderId="3" xfId="0" applyNumberFormat="1" applyFont="1" applyBorder="1" applyAlignment="1">
      <alignment horizontal="right" wrapText="1"/>
    </xf>
    <xf numFmtId="4" fontId="4" fillId="2" borderId="0" xfId="0" applyNumberFormat="1" applyFont="1" applyFill="1" applyAlignment="1">
      <alignment horizontal="center" vertical="center" wrapText="1"/>
    </xf>
    <xf numFmtId="4" fontId="3" fillId="2" borderId="0" xfId="0" applyNumberFormat="1" applyFont="1" applyFill="1"/>
    <xf numFmtId="4" fontId="6" fillId="0" borderId="3" xfId="0" quotePrefix="1" applyNumberFormat="1" applyFont="1" applyBorder="1" applyAlignment="1">
      <alignment horizontal="center" vertical="center" wrapText="1"/>
    </xf>
    <xf numFmtId="4" fontId="6" fillId="2" borderId="3" xfId="0" applyNumberFormat="1" applyFont="1" applyFill="1" applyBorder="1" applyAlignment="1">
      <alignment horizontal="center" vertical="center" wrapText="1"/>
    </xf>
    <xf numFmtId="4" fontId="14" fillId="2" borderId="3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4" fontId="6" fillId="3" borderId="3" xfId="0" applyNumberFormat="1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left" vertical="center" wrapText="1"/>
    </xf>
    <xf numFmtId="4" fontId="1" fillId="4" borderId="3" xfId="0" applyNumberFormat="1" applyFont="1" applyFill="1" applyBorder="1"/>
    <xf numFmtId="2" fontId="1" fillId="4" borderId="3" xfId="0" applyNumberFormat="1" applyFont="1" applyFill="1" applyBorder="1" applyAlignment="1">
      <alignment horizontal="center"/>
    </xf>
    <xf numFmtId="0" fontId="11" fillId="5" borderId="3" xfId="0" applyFont="1" applyFill="1" applyBorder="1" applyAlignment="1">
      <alignment horizontal="left" vertical="center" wrapText="1"/>
    </xf>
    <xf numFmtId="4" fontId="6" fillId="5" borderId="3" xfId="0" applyNumberFormat="1" applyFont="1" applyFill="1" applyBorder="1" applyAlignment="1">
      <alignment horizontal="right"/>
    </xf>
    <xf numFmtId="4" fontId="1" fillId="5" borderId="3" xfId="0" applyNumberFormat="1" applyFont="1" applyFill="1" applyBorder="1"/>
    <xf numFmtId="2" fontId="1" fillId="5" borderId="3" xfId="0" applyNumberFormat="1" applyFont="1" applyFill="1" applyBorder="1" applyAlignment="1">
      <alignment horizontal="center"/>
    </xf>
    <xf numFmtId="0" fontId="11" fillId="6" borderId="3" xfId="0" applyFont="1" applyFill="1" applyBorder="1" applyAlignment="1">
      <alignment horizontal="left" vertical="center" wrapText="1"/>
    </xf>
    <xf numFmtId="0" fontId="9" fillId="6" borderId="3" xfId="0" applyFont="1" applyFill="1" applyBorder="1" applyAlignment="1">
      <alignment horizontal="left" vertical="center" wrapText="1"/>
    </xf>
    <xf numFmtId="4" fontId="1" fillId="6" borderId="3" xfId="0" applyNumberFormat="1" applyFont="1" applyFill="1" applyBorder="1"/>
    <xf numFmtId="2" fontId="1" fillId="6" borderId="3" xfId="0" applyNumberFormat="1" applyFont="1" applyFill="1" applyBorder="1" applyAlignment="1">
      <alignment horizontal="center"/>
    </xf>
    <xf numFmtId="4" fontId="20" fillId="6" borderId="3" xfId="0" applyNumberFormat="1" applyFont="1" applyFill="1" applyBorder="1"/>
    <xf numFmtId="4" fontId="6" fillId="2" borderId="3" xfId="0" applyNumberFormat="1" applyFont="1" applyFill="1" applyBorder="1" applyAlignment="1">
      <alignment horizontal="right"/>
    </xf>
    <xf numFmtId="4" fontId="20" fillId="2" borderId="3" xfId="0" applyNumberFormat="1" applyFont="1" applyFill="1" applyBorder="1"/>
    <xf numFmtId="2" fontId="1" fillId="2" borderId="3" xfId="0" applyNumberFormat="1" applyFont="1" applyFill="1" applyBorder="1" applyAlignment="1">
      <alignment horizontal="center"/>
    </xf>
    <xf numFmtId="0" fontId="9" fillId="7" borderId="3" xfId="0" quotePrefix="1" applyFont="1" applyFill="1" applyBorder="1" applyAlignment="1">
      <alignment horizontal="left" vertical="center"/>
    </xf>
    <xf numFmtId="4" fontId="0" fillId="7" borderId="3" xfId="0" applyNumberFormat="1" applyFill="1" applyBorder="1"/>
    <xf numFmtId="2" fontId="0" fillId="7" borderId="3" xfId="0" applyNumberFormat="1" applyFill="1" applyBorder="1" applyAlignment="1">
      <alignment horizontal="center"/>
    </xf>
    <xf numFmtId="4" fontId="3" fillId="2" borderId="3" xfId="0" applyNumberFormat="1" applyFont="1" applyFill="1" applyBorder="1" applyAlignment="1">
      <alignment horizontal="right"/>
    </xf>
    <xf numFmtId="4" fontId="0" fillId="2" borderId="3" xfId="0" applyNumberFormat="1" applyFill="1" applyBorder="1"/>
    <xf numFmtId="2" fontId="0" fillId="2" borderId="3" xfId="0" applyNumberFormat="1" applyFill="1" applyBorder="1" applyAlignment="1">
      <alignment horizontal="center"/>
    </xf>
    <xf numFmtId="4" fontId="0" fillId="0" borderId="3" xfId="0" applyNumberFormat="1" applyBorder="1"/>
    <xf numFmtId="2" fontId="0" fillId="0" borderId="3" xfId="0" applyNumberFormat="1" applyBorder="1" applyAlignment="1">
      <alignment horizontal="center"/>
    </xf>
    <xf numFmtId="0" fontId="21" fillId="8" borderId="3" xfId="0" quotePrefix="1" applyFont="1" applyFill="1" applyBorder="1" applyAlignment="1">
      <alignment horizontal="left" vertical="center"/>
    </xf>
    <xf numFmtId="0" fontId="22" fillId="8" borderId="3" xfId="0" quotePrefix="1" applyFont="1" applyFill="1" applyBorder="1" applyAlignment="1">
      <alignment horizontal="left" vertical="center"/>
    </xf>
    <xf numFmtId="4" fontId="0" fillId="8" borderId="3" xfId="0" applyNumberFormat="1" applyFill="1" applyBorder="1"/>
    <xf numFmtId="2" fontId="23" fillId="9" borderId="3" xfId="0" applyNumberFormat="1" applyFont="1" applyFill="1" applyBorder="1" applyAlignment="1">
      <alignment horizontal="center"/>
    </xf>
    <xf numFmtId="0" fontId="9" fillId="8" borderId="3" xfId="0" quotePrefix="1" applyFont="1" applyFill="1" applyBorder="1" applyAlignment="1">
      <alignment horizontal="left" vertical="center"/>
    </xf>
    <xf numFmtId="0" fontId="9" fillId="8" borderId="3" xfId="0" quotePrefix="1" applyFont="1" applyFill="1" applyBorder="1" applyAlignment="1">
      <alignment horizontal="left" vertical="center" wrapText="1"/>
    </xf>
    <xf numFmtId="0" fontId="9" fillId="6" borderId="3" xfId="0" quotePrefix="1" applyFont="1" applyFill="1" applyBorder="1" applyAlignment="1">
      <alignment horizontal="left" vertical="center"/>
    </xf>
    <xf numFmtId="4" fontId="1" fillId="7" borderId="3" xfId="0" applyNumberFormat="1" applyFont="1" applyFill="1" applyBorder="1"/>
    <xf numFmtId="0" fontId="10" fillId="6" borderId="3" xfId="0" quotePrefix="1" applyFont="1" applyFill="1" applyBorder="1" applyAlignment="1">
      <alignment horizontal="left" vertical="center"/>
    </xf>
    <xf numFmtId="0" fontId="11" fillId="7" borderId="3" xfId="0" quotePrefix="1" applyFont="1" applyFill="1" applyBorder="1" applyAlignment="1">
      <alignment horizontal="left" vertical="center"/>
    </xf>
    <xf numFmtId="0" fontId="10" fillId="7" borderId="3" xfId="0" quotePrefix="1" applyFont="1" applyFill="1" applyBorder="1" applyAlignment="1">
      <alignment horizontal="left" vertical="center"/>
    </xf>
    <xf numFmtId="0" fontId="9" fillId="7" borderId="3" xfId="0" applyFont="1" applyFill="1" applyBorder="1" applyAlignment="1">
      <alignment horizontal="left" vertical="center" wrapText="1"/>
    </xf>
    <xf numFmtId="0" fontId="9" fillId="9" borderId="3" xfId="0" quotePrefix="1" applyFont="1" applyFill="1" applyBorder="1" applyAlignment="1">
      <alignment horizontal="left" vertical="center"/>
    </xf>
    <xf numFmtId="0" fontId="11" fillId="9" borderId="3" xfId="0" quotePrefix="1" applyFont="1" applyFill="1" applyBorder="1" applyAlignment="1">
      <alignment horizontal="left" vertical="center"/>
    </xf>
    <xf numFmtId="0" fontId="10" fillId="9" borderId="3" xfId="0" quotePrefix="1" applyFont="1" applyFill="1" applyBorder="1" applyAlignment="1">
      <alignment horizontal="left" vertical="center"/>
    </xf>
    <xf numFmtId="0" fontId="9" fillId="9" borderId="3" xfId="0" applyFont="1" applyFill="1" applyBorder="1" applyAlignment="1">
      <alignment horizontal="left" vertical="center" wrapText="1"/>
    </xf>
    <xf numFmtId="4" fontId="3" fillId="9" borderId="3" xfId="0" applyNumberFormat="1" applyFont="1" applyFill="1" applyBorder="1" applyAlignment="1">
      <alignment horizontal="right"/>
    </xf>
    <xf numFmtId="4" fontId="0" fillId="9" borderId="3" xfId="0" applyNumberFormat="1" applyFill="1" applyBorder="1"/>
    <xf numFmtId="2" fontId="0" fillId="9" borderId="3" xfId="0" applyNumberFormat="1" applyFill="1" applyBorder="1" applyAlignment="1">
      <alignment horizontal="center"/>
    </xf>
    <xf numFmtId="0" fontId="11" fillId="6" borderId="3" xfId="0" quotePrefix="1" applyFont="1" applyFill="1" applyBorder="1" applyAlignment="1">
      <alignment horizontal="left" vertical="center"/>
    </xf>
    <xf numFmtId="0" fontId="9" fillId="7" borderId="3" xfId="0" quotePrefix="1" applyFont="1" applyFill="1" applyBorder="1" applyAlignment="1">
      <alignment horizontal="left" vertical="center" wrapText="1"/>
    </xf>
    <xf numFmtId="0" fontId="11" fillId="5" borderId="3" xfId="0" quotePrefix="1" applyFont="1" applyFill="1" applyBorder="1" applyAlignment="1">
      <alignment horizontal="left" vertical="center"/>
    </xf>
    <xf numFmtId="0" fontId="9" fillId="5" borderId="3" xfId="0" quotePrefix="1" applyFont="1" applyFill="1" applyBorder="1" applyAlignment="1">
      <alignment horizontal="left" vertical="center"/>
    </xf>
    <xf numFmtId="0" fontId="11" fillId="5" borderId="3" xfId="0" quotePrefix="1" applyFont="1" applyFill="1" applyBorder="1" applyAlignment="1">
      <alignment horizontal="left" vertical="center" wrapText="1"/>
    </xf>
    <xf numFmtId="2" fontId="0" fillId="5" borderId="3" xfId="0" applyNumberFormat="1" applyFill="1" applyBorder="1" applyAlignment="1">
      <alignment horizontal="center"/>
    </xf>
    <xf numFmtId="0" fontId="9" fillId="2" borderId="0" xfId="0" quotePrefix="1" applyFont="1" applyFill="1" applyAlignment="1">
      <alignment horizontal="left" vertical="center"/>
    </xf>
    <xf numFmtId="0" fontId="9" fillId="2" borderId="0" xfId="0" quotePrefix="1" applyFont="1" applyFill="1" applyAlignment="1">
      <alignment horizontal="left" vertical="center" wrapText="1"/>
    </xf>
    <xf numFmtId="4" fontId="3" fillId="2" borderId="0" xfId="0" applyNumberFormat="1" applyFont="1" applyFill="1" applyAlignment="1">
      <alignment horizontal="right"/>
    </xf>
    <xf numFmtId="2" fontId="0" fillId="0" borderId="0" xfId="0" applyNumberFormat="1" applyAlignment="1">
      <alignment horizontal="center"/>
    </xf>
    <xf numFmtId="2" fontId="0" fillId="2" borderId="0" xfId="0" applyNumberFormat="1" applyFill="1" applyAlignment="1">
      <alignment horizontal="center"/>
    </xf>
    <xf numFmtId="4" fontId="24" fillId="7" borderId="3" xfId="0" applyNumberFormat="1" applyFont="1" applyFill="1" applyBorder="1"/>
    <xf numFmtId="2" fontId="24" fillId="7" borderId="3" xfId="0" applyNumberFormat="1" applyFont="1" applyFill="1" applyBorder="1" applyAlignment="1">
      <alignment horizontal="center"/>
    </xf>
    <xf numFmtId="4" fontId="24" fillId="9" borderId="3" xfId="0" applyNumberFormat="1" applyFont="1" applyFill="1" applyBorder="1"/>
    <xf numFmtId="4" fontId="24" fillId="0" borderId="3" xfId="0" applyNumberFormat="1" applyFont="1" applyBorder="1"/>
    <xf numFmtId="0" fontId="11" fillId="8" borderId="3" xfId="0" quotePrefix="1" applyFont="1" applyFill="1" applyBorder="1" applyAlignment="1">
      <alignment horizontal="left" vertical="center"/>
    </xf>
    <xf numFmtId="0" fontId="10" fillId="8" borderId="3" xfId="0" quotePrefix="1" applyFont="1" applyFill="1" applyBorder="1" applyAlignment="1">
      <alignment horizontal="left" vertical="center"/>
    </xf>
    <xf numFmtId="4" fontId="26" fillId="8" borderId="3" xfId="0" applyNumberFormat="1" applyFont="1" applyFill="1" applyBorder="1"/>
    <xf numFmtId="2" fontId="0" fillId="8" borderId="3" xfId="0" applyNumberFormat="1" applyFill="1" applyBorder="1" applyAlignment="1">
      <alignment horizontal="center"/>
    </xf>
    <xf numFmtId="2" fontId="0" fillId="6" borderId="3" xfId="0" applyNumberFormat="1" applyFill="1" applyBorder="1" applyAlignment="1">
      <alignment horizontal="center"/>
    </xf>
    <xf numFmtId="0" fontId="11" fillId="5" borderId="3" xfId="0" applyFont="1" applyFill="1" applyBorder="1" applyAlignment="1">
      <alignment horizontal="left" vertical="center"/>
    </xf>
    <xf numFmtId="0" fontId="11" fillId="5" borderId="3" xfId="0" applyFont="1" applyFill="1" applyBorder="1" applyAlignment="1">
      <alignment vertical="center" wrapText="1"/>
    </xf>
    <xf numFmtId="0" fontId="9" fillId="6" borderId="3" xfId="0" applyFont="1" applyFill="1" applyBorder="1" applyAlignment="1">
      <alignment vertical="center" wrapText="1"/>
    </xf>
    <xf numFmtId="4" fontId="3" fillId="2" borderId="3" xfId="0" applyNumberFormat="1" applyFont="1" applyFill="1" applyBorder="1" applyAlignment="1">
      <alignment horizontal="right" wrapText="1"/>
    </xf>
    <xf numFmtId="4" fontId="3" fillId="0" borderId="3" xfId="0" applyNumberFormat="1" applyFont="1" applyBorder="1" applyAlignment="1">
      <alignment horizontal="right"/>
    </xf>
    <xf numFmtId="0" fontId="0" fillId="10" borderId="0" xfId="0" applyFill="1"/>
    <xf numFmtId="0" fontId="11" fillId="10" borderId="3" xfId="0" applyFont="1" applyFill="1" applyBorder="1" applyAlignment="1">
      <alignment horizontal="left" vertical="center"/>
    </xf>
    <xf numFmtId="0" fontId="25" fillId="10" borderId="3" xfId="0" applyFont="1" applyFill="1" applyBorder="1" applyAlignment="1">
      <alignment vertical="center" wrapText="1"/>
    </xf>
    <xf numFmtId="4" fontId="1" fillId="10" borderId="3" xfId="0" applyNumberFormat="1" applyFont="1" applyFill="1" applyBorder="1"/>
    <xf numFmtId="2" fontId="1" fillId="10" borderId="3" xfId="0" applyNumberFormat="1" applyFont="1" applyFill="1" applyBorder="1" applyAlignment="1">
      <alignment horizontal="center"/>
    </xf>
    <xf numFmtId="0" fontId="9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vertical="center" wrapText="1"/>
    </xf>
    <xf numFmtId="0" fontId="9" fillId="11" borderId="3" xfId="0" applyFont="1" applyFill="1" applyBorder="1" applyAlignment="1">
      <alignment horizontal="left" vertical="center"/>
    </xf>
    <xf numFmtId="0" fontId="9" fillId="11" borderId="3" xfId="0" applyFont="1" applyFill="1" applyBorder="1" applyAlignment="1">
      <alignment vertical="center" wrapText="1"/>
    </xf>
    <xf numFmtId="4" fontId="0" fillId="11" borderId="3" xfId="0" applyNumberFormat="1" applyFill="1" applyBorder="1"/>
    <xf numFmtId="2" fontId="0" fillId="11" borderId="3" xfId="0" applyNumberFormat="1" applyFill="1" applyBorder="1" applyAlignment="1">
      <alignment horizontal="center"/>
    </xf>
    <xf numFmtId="0" fontId="18" fillId="0" borderId="0" xfId="0" applyFont="1" applyAlignment="1">
      <alignment vertical="center"/>
    </xf>
    <xf numFmtId="0" fontId="18" fillId="2" borderId="5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4" fontId="6" fillId="4" borderId="3" xfId="0" applyNumberFormat="1" applyFont="1" applyFill="1" applyBorder="1" applyAlignment="1">
      <alignment horizontal="right"/>
    </xf>
    <xf numFmtId="0" fontId="11" fillId="7" borderId="3" xfId="0" applyFont="1" applyFill="1" applyBorder="1" applyAlignment="1">
      <alignment horizontal="left" vertical="center" wrapText="1"/>
    </xf>
    <xf numFmtId="4" fontId="6" fillId="7" borderId="3" xfId="0" applyNumberFormat="1" applyFont="1" applyFill="1" applyBorder="1" applyAlignment="1">
      <alignment horizontal="right"/>
    </xf>
    <xf numFmtId="2" fontId="1" fillId="7" borderId="3" xfId="0" applyNumberFormat="1" applyFont="1" applyFill="1" applyBorder="1" applyAlignment="1">
      <alignment horizontal="center"/>
    </xf>
    <xf numFmtId="4" fontId="9" fillId="2" borderId="3" xfId="0" applyNumberFormat="1" applyFont="1" applyFill="1" applyBorder="1" applyAlignment="1">
      <alignment horizontal="right"/>
    </xf>
    <xf numFmtId="4" fontId="24" fillId="2" borderId="3" xfId="0" applyNumberFormat="1" applyFont="1" applyFill="1" applyBorder="1"/>
    <xf numFmtId="2" fontId="20" fillId="7" borderId="3" xfId="0" applyNumberFormat="1" applyFont="1" applyFill="1" applyBorder="1" applyAlignment="1">
      <alignment horizontal="center"/>
    </xf>
    <xf numFmtId="0" fontId="9" fillId="4" borderId="3" xfId="0" applyFont="1" applyFill="1" applyBorder="1" applyAlignment="1">
      <alignment horizontal="left" vertical="center" wrapText="1"/>
    </xf>
    <xf numFmtId="4" fontId="27" fillId="4" borderId="3" xfId="0" applyNumberFormat="1" applyFont="1" applyFill="1" applyBorder="1"/>
    <xf numFmtId="0" fontId="11" fillId="9" borderId="3" xfId="0" applyFont="1" applyFill="1" applyBorder="1" applyAlignment="1">
      <alignment horizontal="left" vertical="center" wrapText="1"/>
    </xf>
    <xf numFmtId="4" fontId="27" fillId="9" borderId="3" xfId="0" applyNumberFormat="1" applyFont="1" applyFill="1" applyBorder="1"/>
    <xf numFmtId="2" fontId="24" fillId="2" borderId="3" xfId="0" applyNumberFormat="1" applyFont="1" applyFill="1" applyBorder="1" applyAlignment="1">
      <alignment horizontal="center"/>
    </xf>
    <xf numFmtId="14" fontId="11" fillId="4" borderId="3" xfId="0" applyNumberFormat="1" applyFont="1" applyFill="1" applyBorder="1" applyAlignment="1">
      <alignment horizontal="left" vertical="center" wrapText="1"/>
    </xf>
    <xf numFmtId="4" fontId="6" fillId="9" borderId="3" xfId="0" applyNumberFormat="1" applyFont="1" applyFill="1" applyBorder="1" applyAlignment="1">
      <alignment horizontal="right"/>
    </xf>
    <xf numFmtId="0" fontId="11" fillId="7" borderId="3" xfId="0" applyFont="1" applyFill="1" applyBorder="1" applyAlignment="1">
      <alignment horizontal="left" vertical="center"/>
    </xf>
    <xf numFmtId="0" fontId="11" fillId="7" borderId="3" xfId="0" applyFont="1" applyFill="1" applyBorder="1" applyAlignment="1">
      <alignment vertical="center" wrapText="1"/>
    </xf>
    <xf numFmtId="2" fontId="24" fillId="4" borderId="3" xfId="0" applyNumberFormat="1" applyFont="1" applyFill="1" applyBorder="1" applyAlignment="1">
      <alignment horizontal="center"/>
    </xf>
    <xf numFmtId="4" fontId="28" fillId="2" borderId="3" xfId="0" applyNumberFormat="1" applyFont="1" applyFill="1" applyBorder="1" applyAlignment="1">
      <alignment horizontal="right"/>
    </xf>
    <xf numFmtId="4" fontId="1" fillId="9" borderId="3" xfId="0" applyNumberFormat="1" applyFont="1" applyFill="1" applyBorder="1"/>
    <xf numFmtId="2" fontId="1" fillId="9" borderId="3" xfId="0" applyNumberFormat="1" applyFont="1" applyFill="1" applyBorder="1" applyAlignment="1">
      <alignment horizontal="center"/>
    </xf>
    <xf numFmtId="0" fontId="0" fillId="4" borderId="0" xfId="0" applyFill="1"/>
    <xf numFmtId="0" fontId="1" fillId="4" borderId="0" xfId="0" applyFont="1" applyFill="1"/>
    <xf numFmtId="4" fontId="1" fillId="4" borderId="0" xfId="0" applyNumberFormat="1" applyFont="1" applyFill="1"/>
    <xf numFmtId="2" fontId="1" fillId="4" borderId="0" xfId="0" applyNumberFormat="1" applyFont="1" applyFill="1" applyAlignment="1">
      <alignment horizontal="center"/>
    </xf>
    <xf numFmtId="4" fontId="11" fillId="2" borderId="3" xfId="0" applyNumberFormat="1" applyFont="1" applyFill="1" applyBorder="1" applyAlignment="1">
      <alignment horizontal="right"/>
    </xf>
    <xf numFmtId="4" fontId="11" fillId="9" borderId="3" xfId="0" applyNumberFormat="1" applyFont="1" applyFill="1" applyBorder="1" applyAlignment="1">
      <alignment horizontal="right"/>
    </xf>
    <xf numFmtId="2" fontId="24" fillId="9" borderId="3" xfId="0" applyNumberFormat="1" applyFont="1" applyFill="1" applyBorder="1" applyAlignment="1">
      <alignment horizontal="center"/>
    </xf>
    <xf numFmtId="4" fontId="1" fillId="2" borderId="3" xfId="0" applyNumberFormat="1" applyFont="1" applyFill="1" applyBorder="1"/>
    <xf numFmtId="0" fontId="11" fillId="4" borderId="3" xfId="0" applyFont="1" applyFill="1" applyBorder="1" applyAlignment="1">
      <alignment horizontal="left" vertical="center"/>
    </xf>
    <xf numFmtId="0" fontId="11" fillId="4" borderId="3" xfId="0" applyFont="1" applyFill="1" applyBorder="1" applyAlignment="1">
      <alignment vertical="center" wrapText="1"/>
    </xf>
    <xf numFmtId="0" fontId="11" fillId="9" borderId="3" xfId="0" applyFont="1" applyFill="1" applyBorder="1" applyAlignment="1">
      <alignment horizontal="left" vertical="center"/>
    </xf>
    <xf numFmtId="0" fontId="11" fillId="9" borderId="3" xfId="0" applyFont="1" applyFill="1" applyBorder="1" applyAlignment="1">
      <alignment vertical="center" wrapText="1"/>
    </xf>
    <xf numFmtId="4" fontId="29" fillId="9" borderId="3" xfId="0" applyNumberFormat="1" applyFont="1" applyFill="1" applyBorder="1" applyAlignment="1">
      <alignment horizontal="right"/>
    </xf>
    <xf numFmtId="4" fontId="20" fillId="9" borderId="3" xfId="0" applyNumberFormat="1" applyFont="1" applyFill="1" applyBorder="1"/>
    <xf numFmtId="4" fontId="30" fillId="2" borderId="3" xfId="0" applyNumberFormat="1" applyFont="1" applyFill="1" applyBorder="1"/>
    <xf numFmtId="4" fontId="11" fillId="4" borderId="3" xfId="0" applyNumberFormat="1" applyFont="1" applyFill="1" applyBorder="1" applyAlignment="1">
      <alignment horizontal="right"/>
    </xf>
    <xf numFmtId="0" fontId="6" fillId="2" borderId="4" xfId="0" applyFont="1" applyFill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0" fontId="31" fillId="0" borderId="3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 wrapText="1"/>
    </xf>
    <xf numFmtId="4" fontId="32" fillId="4" borderId="3" xfId="0" applyNumberFormat="1" applyFont="1" applyFill="1" applyBorder="1" applyAlignment="1">
      <alignment horizontal="right"/>
    </xf>
    <xf numFmtId="0" fontId="11" fillId="3" borderId="3" xfId="0" applyFont="1" applyFill="1" applyBorder="1" applyAlignment="1">
      <alignment horizontal="left" vertical="center" wrapText="1"/>
    </xf>
    <xf numFmtId="4" fontId="1" fillId="3" borderId="3" xfId="0" applyNumberFormat="1" applyFont="1" applyFill="1" applyBorder="1"/>
    <xf numFmtId="2" fontId="1" fillId="3" borderId="3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left" vertical="center" wrapText="1"/>
    </xf>
    <xf numFmtId="2" fontId="0" fillId="3" borderId="3" xfId="0" applyNumberFormat="1" applyFill="1" applyBorder="1" applyAlignment="1">
      <alignment horizontal="center"/>
    </xf>
    <xf numFmtId="0" fontId="25" fillId="7" borderId="3" xfId="0" applyFont="1" applyFill="1" applyBorder="1" applyAlignment="1">
      <alignment horizontal="left" vertical="center" wrapText="1"/>
    </xf>
    <xf numFmtId="4" fontId="20" fillId="7" borderId="3" xfId="0" applyNumberFormat="1" applyFont="1" applyFill="1" applyBorder="1"/>
    <xf numFmtId="0" fontId="25" fillId="2" borderId="3" xfId="0" applyFont="1" applyFill="1" applyBorder="1" applyAlignment="1">
      <alignment horizontal="left" vertical="center"/>
    </xf>
    <xf numFmtId="0" fontId="25" fillId="7" borderId="3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4" fontId="3" fillId="2" borderId="4" xfId="0" applyNumberFormat="1" applyFont="1" applyFill="1" applyBorder="1" applyAlignment="1">
      <alignment horizontal="right" vertical="center"/>
    </xf>
    <xf numFmtId="4" fontId="3" fillId="2" borderId="3" xfId="0" applyNumberFormat="1" applyFont="1" applyFill="1" applyBorder="1" applyAlignment="1">
      <alignment horizontal="right" vertical="center"/>
    </xf>
    <xf numFmtId="2" fontId="0" fillId="10" borderId="3" xfId="0" applyNumberFormat="1" applyFill="1" applyBorder="1" applyAlignment="1">
      <alignment horizontal="center"/>
    </xf>
    <xf numFmtId="4" fontId="3" fillId="0" borderId="0" xfId="0" applyNumberFormat="1" applyFont="1" applyAlignment="1">
      <alignment vertical="center" wrapText="1"/>
    </xf>
    <xf numFmtId="4" fontId="14" fillId="3" borderId="3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11" fillId="3" borderId="1" xfId="0" quotePrefix="1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 wrapText="1"/>
    </xf>
    <xf numFmtId="0" fontId="16" fillId="2" borderId="0" xfId="0" applyFont="1" applyFill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0" fontId="14" fillId="0" borderId="3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 wrapText="1"/>
    </xf>
    <xf numFmtId="0" fontId="11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7" fillId="2" borderId="0" xfId="0" quotePrefix="1" applyFont="1" applyFill="1" applyAlignment="1">
      <alignment horizontal="left" wrapText="1"/>
    </xf>
    <xf numFmtId="0" fontId="11" fillId="0" borderId="0" xfId="0" applyFont="1" applyAlignment="1">
      <alignment horizontal="left" vertical="top" wrapText="1"/>
    </xf>
    <xf numFmtId="0" fontId="17" fillId="2" borderId="5" xfId="0" applyFont="1" applyFill="1" applyBorder="1" applyAlignment="1">
      <alignment horizontal="left" wrapText="1"/>
    </xf>
    <xf numFmtId="0" fontId="5" fillId="2" borderId="0" xfId="0" applyFont="1" applyFill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11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18" fillId="2" borderId="0" xfId="0" applyFont="1" applyFill="1" applyAlignment="1">
      <alignment horizontal="center" vertical="center"/>
    </xf>
    <xf numFmtId="0" fontId="6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12" fillId="0" borderId="0" xfId="0" applyFont="1" applyAlignment="1">
      <alignment wrapText="1"/>
    </xf>
    <xf numFmtId="0" fontId="18" fillId="0" borderId="0" xfId="0" applyFont="1" applyAlignment="1">
      <alignment horizont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33"/>
  <sheetViews>
    <sheetView workbookViewId="0">
      <selection activeCell="J23" sqref="J23"/>
    </sheetView>
  </sheetViews>
  <sheetFormatPr defaultRowHeight="15" x14ac:dyDescent="0.25"/>
  <cols>
    <col min="6" max="10" width="25.28515625" customWidth="1"/>
    <col min="11" max="12" width="15.7109375" customWidth="1"/>
    <col min="14" max="14" width="11.7109375" bestFit="1" customWidth="1"/>
  </cols>
  <sheetData>
    <row r="1" spans="2:12" ht="42" customHeight="1" x14ac:dyDescent="0.25">
      <c r="B1" s="223" t="s">
        <v>62</v>
      </c>
      <c r="C1" s="223"/>
      <c r="D1" s="223"/>
      <c r="E1" s="223"/>
      <c r="F1" s="223"/>
      <c r="G1" s="223"/>
      <c r="H1" s="223"/>
      <c r="I1" s="223"/>
      <c r="J1" s="223"/>
      <c r="K1" s="223"/>
      <c r="L1" s="223"/>
    </row>
    <row r="2" spans="2:12" ht="15.75" customHeight="1" x14ac:dyDescent="0.25">
      <c r="B2" s="223" t="s">
        <v>12</v>
      </c>
      <c r="C2" s="223"/>
      <c r="D2" s="223"/>
      <c r="E2" s="223"/>
      <c r="F2" s="223"/>
      <c r="G2" s="223"/>
      <c r="H2" s="223"/>
      <c r="I2" s="223"/>
      <c r="J2" s="223"/>
      <c r="K2" s="223"/>
      <c r="L2" s="223"/>
    </row>
    <row r="3" spans="2:12" ht="6.75" customHeight="1" x14ac:dyDescent="0.25">
      <c r="B3" s="207"/>
      <c r="C3" s="207"/>
      <c r="D3" s="207"/>
      <c r="E3" s="36"/>
      <c r="F3" s="36"/>
      <c r="G3" s="36"/>
      <c r="H3" s="36"/>
      <c r="I3" s="36"/>
      <c r="J3" s="38"/>
      <c r="K3" s="38"/>
      <c r="L3" s="37"/>
    </row>
    <row r="4" spans="2:12" ht="18" customHeight="1" x14ac:dyDescent="0.25">
      <c r="B4" s="223" t="s">
        <v>48</v>
      </c>
      <c r="C4" s="223"/>
      <c r="D4" s="223"/>
      <c r="E4" s="223"/>
      <c r="F4" s="223"/>
      <c r="G4" s="223"/>
      <c r="H4" s="223"/>
      <c r="I4" s="223"/>
      <c r="J4" s="223"/>
      <c r="K4" s="223"/>
      <c r="L4" s="223"/>
    </row>
    <row r="5" spans="2:12" ht="18" customHeight="1" x14ac:dyDescent="0.25">
      <c r="B5" s="39"/>
      <c r="C5" s="40"/>
      <c r="D5" s="40"/>
      <c r="E5" s="40"/>
      <c r="F5" s="40"/>
      <c r="G5" s="40"/>
      <c r="H5" s="40"/>
      <c r="I5" s="40"/>
      <c r="J5" s="40"/>
      <c r="K5" s="40"/>
      <c r="L5" s="37"/>
    </row>
    <row r="6" spans="2:12" x14ac:dyDescent="0.25">
      <c r="B6" s="222" t="s">
        <v>49</v>
      </c>
      <c r="C6" s="222"/>
      <c r="D6" s="222"/>
      <c r="E6" s="222"/>
      <c r="F6" s="222"/>
      <c r="G6" s="41"/>
      <c r="H6" s="41"/>
      <c r="I6" s="41"/>
      <c r="J6" s="41"/>
      <c r="K6" s="42"/>
      <c r="L6" s="37"/>
    </row>
    <row r="7" spans="2:12" ht="25.5" x14ac:dyDescent="0.25">
      <c r="B7" s="211" t="s">
        <v>8</v>
      </c>
      <c r="C7" s="212"/>
      <c r="D7" s="212"/>
      <c r="E7" s="212"/>
      <c r="F7" s="213"/>
      <c r="G7" s="19" t="s">
        <v>63</v>
      </c>
      <c r="H7" s="1" t="s">
        <v>64</v>
      </c>
      <c r="I7" s="1" t="s">
        <v>65</v>
      </c>
      <c r="J7" s="19" t="s">
        <v>66</v>
      </c>
      <c r="K7" s="1" t="s">
        <v>17</v>
      </c>
      <c r="L7" s="1" t="s">
        <v>40</v>
      </c>
    </row>
    <row r="8" spans="2:12" s="22" customFormat="1" ht="11.25" x14ac:dyDescent="0.2">
      <c r="B8" s="214">
        <v>1</v>
      </c>
      <c r="C8" s="214"/>
      <c r="D8" s="214"/>
      <c r="E8" s="214"/>
      <c r="F8" s="215"/>
      <c r="G8" s="21">
        <v>2</v>
      </c>
      <c r="H8" s="20"/>
      <c r="I8" s="20">
        <v>4</v>
      </c>
      <c r="J8" s="20">
        <v>5</v>
      </c>
      <c r="K8" s="20" t="s">
        <v>19</v>
      </c>
      <c r="L8" s="20" t="s">
        <v>20</v>
      </c>
    </row>
    <row r="9" spans="2:12" x14ac:dyDescent="0.25">
      <c r="B9" s="227" t="s">
        <v>0</v>
      </c>
      <c r="C9" s="206"/>
      <c r="D9" s="206"/>
      <c r="E9" s="206"/>
      <c r="F9" s="228"/>
      <c r="G9" s="47">
        <f>SUM(G10:G11)</f>
        <v>7132764.2699999996</v>
      </c>
      <c r="H9" s="47">
        <f t="shared" ref="H9:J9" si="0">SUM(H10:H11)</f>
        <v>8794937.5299999993</v>
      </c>
      <c r="I9" s="47">
        <f t="shared" si="0"/>
        <v>8794937.5299999993</v>
      </c>
      <c r="J9" s="47">
        <f t="shared" si="0"/>
        <v>7348495.9400000004</v>
      </c>
      <c r="K9" s="47">
        <f t="shared" ref="K9" si="1">SUM(K10:K11)</f>
        <v>103.02451702921623</v>
      </c>
      <c r="L9" s="47">
        <f t="shared" ref="L9" si="2">SUM(L10:L11)</f>
        <v>83.553702512768169</v>
      </c>
    </row>
    <row r="10" spans="2:12" x14ac:dyDescent="0.25">
      <c r="B10" s="216" t="s">
        <v>41</v>
      </c>
      <c r="C10" s="217"/>
      <c r="D10" s="217"/>
      <c r="E10" s="217"/>
      <c r="F10" s="226"/>
      <c r="G10" s="48">
        <v>7132764.2699999996</v>
      </c>
      <c r="H10" s="48">
        <v>8794937.5299999993</v>
      </c>
      <c r="I10" s="48">
        <v>8794937.5299999993</v>
      </c>
      <c r="J10" s="48">
        <v>7348495.9400000004</v>
      </c>
      <c r="K10" s="48">
        <f>J10/G10*100</f>
        <v>103.02451702921623</v>
      </c>
      <c r="L10" s="48">
        <f>J10/I10*100</f>
        <v>83.553702512768169</v>
      </c>
    </row>
    <row r="11" spans="2:12" x14ac:dyDescent="0.25">
      <c r="B11" s="225" t="s">
        <v>46</v>
      </c>
      <c r="C11" s="226"/>
      <c r="D11" s="226"/>
      <c r="E11" s="226"/>
      <c r="F11" s="226"/>
      <c r="G11" s="48"/>
      <c r="H11" s="48">
        <v>0</v>
      </c>
      <c r="I11" s="48">
        <v>0</v>
      </c>
      <c r="J11" s="48"/>
      <c r="K11" s="48">
        <v>0</v>
      </c>
      <c r="L11" s="48">
        <v>0</v>
      </c>
    </row>
    <row r="12" spans="2:12" x14ac:dyDescent="0.25">
      <c r="B12" s="15" t="s">
        <v>1</v>
      </c>
      <c r="C12" s="28"/>
      <c r="D12" s="28"/>
      <c r="E12" s="28"/>
      <c r="F12" s="28"/>
      <c r="G12" s="47">
        <f>SUM(G13:G14)</f>
        <v>7515063.9699999997</v>
      </c>
      <c r="H12" s="47">
        <f t="shared" ref="H12:J12" si="3">SUM(H13:H14)</f>
        <v>9607384.3499999996</v>
      </c>
      <c r="I12" s="47">
        <f t="shared" si="3"/>
        <v>9607384.3499999996</v>
      </c>
      <c r="J12" s="47">
        <f t="shared" si="3"/>
        <v>8153841</v>
      </c>
      <c r="K12" s="47">
        <f t="shared" ref="K12" si="4">SUM(K13:K14)</f>
        <v>233.37964267739375</v>
      </c>
      <c r="L12" s="47">
        <f t="shared" ref="L12" si="5">SUM(L13:L14)</f>
        <v>173.25186662283426</v>
      </c>
    </row>
    <row r="13" spans="2:12" x14ac:dyDescent="0.25">
      <c r="B13" s="224" t="s">
        <v>42</v>
      </c>
      <c r="C13" s="217"/>
      <c r="D13" s="217"/>
      <c r="E13" s="217"/>
      <c r="F13" s="217"/>
      <c r="G13" s="48">
        <v>4620563.68</v>
      </c>
      <c r="H13" s="48">
        <v>3901339.76</v>
      </c>
      <c r="I13" s="48">
        <v>3901339.76</v>
      </c>
      <c r="J13" s="48">
        <v>3744142.87</v>
      </c>
      <c r="K13" s="49">
        <f>J13/G13*100</f>
        <v>81.032166837272129</v>
      </c>
      <c r="L13" s="49">
        <f>J13/I13*100</f>
        <v>95.97069469284061</v>
      </c>
    </row>
    <row r="14" spans="2:12" x14ac:dyDescent="0.25">
      <c r="B14" s="225" t="s">
        <v>43</v>
      </c>
      <c r="C14" s="226"/>
      <c r="D14" s="226"/>
      <c r="E14" s="226"/>
      <c r="F14" s="226"/>
      <c r="G14" s="48">
        <v>2894500.29</v>
      </c>
      <c r="H14" s="48">
        <v>5706044.5899999999</v>
      </c>
      <c r="I14" s="48">
        <v>5706044.5899999999</v>
      </c>
      <c r="J14" s="48">
        <v>4409698.13</v>
      </c>
      <c r="K14" s="49">
        <f>J14/G14*100</f>
        <v>152.3474758401216</v>
      </c>
      <c r="L14" s="49">
        <f>J14/I14*100</f>
        <v>77.281171929993633</v>
      </c>
    </row>
    <row r="15" spans="2:12" x14ac:dyDescent="0.25">
      <c r="B15" s="205" t="s">
        <v>50</v>
      </c>
      <c r="C15" s="206"/>
      <c r="D15" s="206"/>
      <c r="E15" s="206"/>
      <c r="F15" s="206"/>
      <c r="G15" s="47">
        <f>G9-G12</f>
        <v>-382299.70000000019</v>
      </c>
      <c r="H15" s="47">
        <f t="shared" ref="H15:J15" si="6">H9-H12</f>
        <v>-812446.8200000003</v>
      </c>
      <c r="I15" s="47">
        <f t="shared" si="6"/>
        <v>-812446.8200000003</v>
      </c>
      <c r="J15" s="47">
        <f t="shared" si="6"/>
        <v>-805345.05999999959</v>
      </c>
      <c r="K15" s="47">
        <v>0</v>
      </c>
      <c r="L15" s="47">
        <v>0</v>
      </c>
    </row>
    <row r="16" spans="2:12" ht="18" x14ac:dyDescent="0.25">
      <c r="B16" s="36"/>
      <c r="C16" s="43"/>
      <c r="D16" s="43"/>
      <c r="E16" s="43"/>
      <c r="F16" s="43"/>
      <c r="G16" s="50"/>
      <c r="H16" s="50"/>
      <c r="I16" s="51"/>
      <c r="J16" s="51"/>
      <c r="K16" s="51"/>
      <c r="L16" s="51"/>
    </row>
    <row r="17" spans="1:43" ht="18" customHeight="1" x14ac:dyDescent="0.25">
      <c r="B17" s="222" t="s">
        <v>51</v>
      </c>
      <c r="C17" s="222"/>
      <c r="D17" s="222"/>
      <c r="E17" s="222"/>
      <c r="F17" s="222"/>
      <c r="G17" s="50"/>
      <c r="H17" s="50"/>
      <c r="I17" s="51"/>
      <c r="J17" s="51"/>
      <c r="K17" s="51"/>
      <c r="L17" s="51"/>
    </row>
    <row r="18" spans="1:43" ht="25.5" x14ac:dyDescent="0.25">
      <c r="B18" s="211" t="s">
        <v>8</v>
      </c>
      <c r="C18" s="212"/>
      <c r="D18" s="212"/>
      <c r="E18" s="212"/>
      <c r="F18" s="213"/>
      <c r="G18" s="52" t="s">
        <v>63</v>
      </c>
      <c r="H18" s="53" t="s">
        <v>64</v>
      </c>
      <c r="I18" s="53" t="s">
        <v>65</v>
      </c>
      <c r="J18" s="52" t="s">
        <v>66</v>
      </c>
      <c r="K18" s="53" t="s">
        <v>17</v>
      </c>
      <c r="L18" s="53" t="s">
        <v>40</v>
      </c>
    </row>
    <row r="19" spans="1:43" s="22" customFormat="1" x14ac:dyDescent="0.25">
      <c r="B19" s="214">
        <v>1</v>
      </c>
      <c r="C19" s="214"/>
      <c r="D19" s="214"/>
      <c r="E19" s="214"/>
      <c r="F19" s="215"/>
      <c r="G19" s="21">
        <v>2</v>
      </c>
      <c r="H19" s="20">
        <v>3</v>
      </c>
      <c r="I19" s="20">
        <v>4</v>
      </c>
      <c r="J19" s="20">
        <v>5</v>
      </c>
      <c r="K19" s="54" t="s">
        <v>19</v>
      </c>
      <c r="L19" s="54" t="s">
        <v>20</v>
      </c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</row>
    <row r="20" spans="1:43" ht="15.75" customHeight="1" x14ac:dyDescent="0.25">
      <c r="A20" s="22"/>
      <c r="B20" s="216" t="s">
        <v>44</v>
      </c>
      <c r="C20" s="218"/>
      <c r="D20" s="218"/>
      <c r="E20" s="218"/>
      <c r="F20" s="219"/>
      <c r="G20" s="48">
        <v>330921.87</v>
      </c>
      <c r="H20" s="48">
        <v>629788.57999999996</v>
      </c>
      <c r="I20" s="48">
        <v>629788.57999999996</v>
      </c>
      <c r="J20" s="48">
        <v>629788.57999999996</v>
      </c>
      <c r="K20" s="48">
        <f>J20/G20*100</f>
        <v>190.31337517825582</v>
      </c>
      <c r="L20" s="48">
        <f>J20/I20*100</f>
        <v>100</v>
      </c>
      <c r="N20" s="55"/>
    </row>
    <row r="21" spans="1:43" x14ac:dyDescent="0.25">
      <c r="A21" s="22"/>
      <c r="B21" s="216" t="s">
        <v>45</v>
      </c>
      <c r="C21" s="217"/>
      <c r="D21" s="217"/>
      <c r="E21" s="217"/>
      <c r="F21" s="217"/>
      <c r="G21" s="48">
        <v>0</v>
      </c>
      <c r="H21" s="48">
        <v>0</v>
      </c>
      <c r="I21" s="48">
        <v>0</v>
      </c>
      <c r="J21" s="48">
        <v>0</v>
      </c>
      <c r="K21" s="48">
        <v>0</v>
      </c>
      <c r="L21" s="48">
        <v>0</v>
      </c>
    </row>
    <row r="22" spans="1:43" s="29" customFormat="1" ht="15" customHeight="1" x14ac:dyDescent="0.25">
      <c r="A22" s="22"/>
      <c r="B22" s="208" t="s">
        <v>47</v>
      </c>
      <c r="C22" s="209"/>
      <c r="D22" s="209"/>
      <c r="E22" s="209"/>
      <c r="F22" s="210"/>
      <c r="G22" s="47">
        <f>G20-G21</f>
        <v>330921.87</v>
      </c>
      <c r="H22" s="47">
        <f>H20-H21</f>
        <v>629788.57999999996</v>
      </c>
      <c r="I22" s="47">
        <f>I20-I21</f>
        <v>629788.57999999996</v>
      </c>
      <c r="J22" s="47">
        <f>J20-J21</f>
        <v>629788.57999999996</v>
      </c>
      <c r="K22" s="47"/>
      <c r="L22" s="47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</row>
    <row r="23" spans="1:43" s="29" customFormat="1" ht="15" customHeight="1" x14ac:dyDescent="0.25">
      <c r="A23" s="22"/>
      <c r="B23" s="208" t="s">
        <v>52</v>
      </c>
      <c r="C23" s="209"/>
      <c r="D23" s="209"/>
      <c r="E23" s="209"/>
      <c r="F23" s="210"/>
      <c r="G23" s="47">
        <v>209367.5</v>
      </c>
      <c r="H23" s="47">
        <v>182248.51</v>
      </c>
      <c r="I23" s="47">
        <v>182248.51</v>
      </c>
      <c r="J23" s="47">
        <v>159915.76</v>
      </c>
      <c r="K23" s="47"/>
      <c r="L23" s="47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</row>
    <row r="24" spans="1:43" x14ac:dyDescent="0.25">
      <c r="A24" s="22"/>
      <c r="B24" s="205" t="s">
        <v>53</v>
      </c>
      <c r="C24" s="206"/>
      <c r="D24" s="206"/>
      <c r="E24" s="206"/>
      <c r="F24" s="206"/>
      <c r="G24" s="47">
        <v>159915.76</v>
      </c>
      <c r="H24" s="47"/>
      <c r="I24" s="47"/>
      <c r="J24" s="47">
        <v>-15640.72</v>
      </c>
      <c r="K24" s="47"/>
      <c r="L24" s="47"/>
    </row>
    <row r="25" spans="1:43" ht="15.75" x14ac:dyDescent="0.25">
      <c r="B25" s="44"/>
      <c r="C25" s="45"/>
      <c r="D25" s="45"/>
      <c r="E25" s="45"/>
      <c r="F25" s="45"/>
      <c r="G25" s="46"/>
      <c r="H25" s="46"/>
      <c r="I25" s="46"/>
      <c r="J25" s="46"/>
      <c r="K25" s="46"/>
      <c r="L25" s="37"/>
    </row>
    <row r="26" spans="1:43" ht="15.75" x14ac:dyDescent="0.25">
      <c r="B26" s="220" t="s">
        <v>57</v>
      </c>
      <c r="C26" s="220"/>
      <c r="D26" s="220"/>
      <c r="E26" s="220"/>
      <c r="F26" s="220"/>
      <c r="G26" s="220"/>
      <c r="H26" s="220"/>
      <c r="I26" s="220"/>
      <c r="J26" s="220"/>
      <c r="K26" s="220"/>
      <c r="L26" s="220"/>
      <c r="N26" s="55"/>
    </row>
    <row r="27" spans="1:43" ht="15.75" x14ac:dyDescent="0.25">
      <c r="B27" s="12"/>
      <c r="C27" s="13"/>
      <c r="D27" s="13"/>
      <c r="E27" s="13"/>
      <c r="F27" s="13"/>
      <c r="G27" s="14"/>
      <c r="H27" s="14"/>
      <c r="I27" s="14"/>
      <c r="J27" s="14"/>
      <c r="K27" s="14"/>
    </row>
    <row r="28" spans="1:43" ht="15" customHeight="1" x14ac:dyDescent="0.25">
      <c r="B28" s="221" t="s">
        <v>58</v>
      </c>
      <c r="C28" s="221"/>
      <c r="D28" s="221"/>
      <c r="E28" s="221"/>
      <c r="F28" s="221"/>
      <c r="G28" s="221"/>
      <c r="H28" s="221"/>
      <c r="I28" s="221"/>
      <c r="J28" s="221"/>
      <c r="K28" s="221"/>
      <c r="L28" s="221"/>
    </row>
    <row r="29" spans="1:43" x14ac:dyDescent="0.25">
      <c r="B29" s="221" t="s">
        <v>59</v>
      </c>
      <c r="C29" s="221"/>
      <c r="D29" s="221"/>
      <c r="E29" s="221"/>
      <c r="F29" s="221"/>
      <c r="G29" s="221"/>
      <c r="H29" s="221"/>
      <c r="I29" s="221"/>
      <c r="J29" s="221"/>
      <c r="K29" s="221"/>
      <c r="L29" s="221"/>
    </row>
    <row r="30" spans="1:43" ht="15" customHeight="1" x14ac:dyDescent="0.25">
      <c r="B30" s="221" t="s">
        <v>60</v>
      </c>
      <c r="C30" s="221"/>
      <c r="D30" s="221"/>
      <c r="E30" s="221"/>
      <c r="F30" s="221"/>
      <c r="G30" s="221"/>
      <c r="H30" s="221"/>
      <c r="I30" s="221"/>
      <c r="J30" s="221"/>
      <c r="K30" s="221"/>
      <c r="L30" s="221"/>
    </row>
    <row r="31" spans="1:43" ht="36.75" customHeight="1" x14ac:dyDescent="0.25">
      <c r="B31" s="221"/>
      <c r="C31" s="221"/>
      <c r="D31" s="221"/>
      <c r="E31" s="221"/>
      <c r="F31" s="221"/>
      <c r="G31" s="221"/>
      <c r="H31" s="221"/>
      <c r="I31" s="221"/>
      <c r="J31" s="221"/>
      <c r="K31" s="221"/>
      <c r="L31" s="221"/>
    </row>
    <row r="32" spans="1:43" ht="15" customHeight="1" x14ac:dyDescent="0.25">
      <c r="B32" s="204" t="s">
        <v>61</v>
      </c>
      <c r="C32" s="204"/>
      <c r="D32" s="204"/>
      <c r="E32" s="204"/>
      <c r="F32" s="204"/>
      <c r="G32" s="204"/>
      <c r="H32" s="204"/>
      <c r="I32" s="204"/>
      <c r="J32" s="204"/>
      <c r="K32" s="204"/>
      <c r="L32" s="204"/>
    </row>
    <row r="33" spans="2:12" x14ac:dyDescent="0.25">
      <c r="B33" s="204"/>
      <c r="C33" s="204"/>
      <c r="D33" s="204"/>
      <c r="E33" s="204"/>
      <c r="F33" s="204"/>
      <c r="G33" s="204"/>
      <c r="H33" s="204"/>
      <c r="I33" s="204"/>
      <c r="J33" s="204"/>
      <c r="K33" s="204"/>
      <c r="L33" s="204"/>
    </row>
  </sheetData>
  <mergeCells count="26">
    <mergeCell ref="B1:L1"/>
    <mergeCell ref="B2:L2"/>
    <mergeCell ref="B4:L4"/>
    <mergeCell ref="B13:F13"/>
    <mergeCell ref="B14:F14"/>
    <mergeCell ref="B8:F8"/>
    <mergeCell ref="B9:F9"/>
    <mergeCell ref="B10:F10"/>
    <mergeCell ref="B6:F6"/>
    <mergeCell ref="B7:F7"/>
    <mergeCell ref="B11:F11"/>
    <mergeCell ref="B32:L33"/>
    <mergeCell ref="B15:F15"/>
    <mergeCell ref="B24:F24"/>
    <mergeCell ref="B3:D3"/>
    <mergeCell ref="B23:F23"/>
    <mergeCell ref="B18:F18"/>
    <mergeCell ref="B19:F19"/>
    <mergeCell ref="B21:F21"/>
    <mergeCell ref="B22:F22"/>
    <mergeCell ref="B20:F20"/>
    <mergeCell ref="B26:L26"/>
    <mergeCell ref="B29:L29"/>
    <mergeCell ref="B28:L28"/>
    <mergeCell ref="B30:L31"/>
    <mergeCell ref="B17:F17"/>
  </mergeCells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135"/>
  <sheetViews>
    <sheetView topLeftCell="A109" workbookViewId="0">
      <selection activeCell="G140" sqref="G140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5.42578125" bestFit="1" customWidth="1"/>
    <col min="5" max="5" width="5.42578125" customWidth="1"/>
    <col min="6" max="6" width="44.7109375" customWidth="1"/>
    <col min="7" max="10" width="25.28515625" customWidth="1"/>
    <col min="11" max="12" width="15.7109375" customWidth="1"/>
  </cols>
  <sheetData>
    <row r="1" spans="2:12" ht="18" customHeight="1" x14ac:dyDescent="0.25">
      <c r="B1" s="2"/>
      <c r="C1" s="2"/>
      <c r="D1" s="2"/>
      <c r="E1" s="2"/>
      <c r="F1" s="2"/>
      <c r="G1" s="2"/>
      <c r="H1" s="2"/>
      <c r="I1" s="2"/>
      <c r="J1" s="2"/>
      <c r="K1" s="2"/>
    </row>
    <row r="2" spans="2:12" ht="15.75" customHeight="1" x14ac:dyDescent="0.25">
      <c r="B2" s="235" t="s">
        <v>12</v>
      </c>
      <c r="C2" s="235"/>
      <c r="D2" s="235"/>
      <c r="E2" s="235"/>
      <c r="F2" s="235"/>
      <c r="G2" s="235"/>
      <c r="H2" s="235"/>
      <c r="I2" s="235"/>
      <c r="J2" s="235"/>
      <c r="K2" s="235"/>
      <c r="L2" s="235"/>
    </row>
    <row r="3" spans="2:12" ht="18" x14ac:dyDescent="0.25">
      <c r="B3" s="2"/>
      <c r="C3" s="2"/>
      <c r="D3" s="2"/>
      <c r="E3" s="2"/>
      <c r="F3" s="2"/>
      <c r="G3" s="2"/>
      <c r="H3" s="2"/>
      <c r="I3" s="2"/>
      <c r="J3" s="3"/>
      <c r="K3" s="3"/>
    </row>
    <row r="4" spans="2:12" ht="18" customHeight="1" x14ac:dyDescent="0.25">
      <c r="B4" s="235" t="s">
        <v>54</v>
      </c>
      <c r="C4" s="235"/>
      <c r="D4" s="235"/>
      <c r="E4" s="235"/>
      <c r="F4" s="235"/>
      <c r="G4" s="235"/>
      <c r="H4" s="235"/>
      <c r="I4" s="235"/>
      <c r="J4" s="235"/>
      <c r="K4" s="235"/>
      <c r="L4" s="235"/>
    </row>
    <row r="5" spans="2:12" ht="18" x14ac:dyDescent="0.25">
      <c r="B5" s="2"/>
      <c r="C5" s="2"/>
      <c r="D5" s="2"/>
      <c r="E5" s="2"/>
      <c r="F5" s="2"/>
      <c r="G5" s="2"/>
      <c r="H5" s="2"/>
      <c r="I5" s="2"/>
      <c r="J5" s="3"/>
      <c r="K5" s="3"/>
    </row>
    <row r="6" spans="2:12" ht="15.75" customHeight="1" x14ac:dyDescent="0.25">
      <c r="B6" s="235" t="s">
        <v>18</v>
      </c>
      <c r="C6" s="235"/>
      <c r="D6" s="235"/>
      <c r="E6" s="235"/>
      <c r="F6" s="235"/>
      <c r="G6" s="235"/>
      <c r="H6" s="235"/>
      <c r="I6" s="235"/>
      <c r="J6" s="235"/>
      <c r="K6" s="235"/>
      <c r="L6" s="235"/>
    </row>
    <row r="7" spans="2:12" ht="25.5" customHeight="1" x14ac:dyDescent="0.25">
      <c r="B7" s="2"/>
      <c r="C7" s="2"/>
      <c r="D7" s="2"/>
      <c r="E7" s="2"/>
      <c r="F7" s="2"/>
      <c r="G7" s="2"/>
      <c r="H7" s="2"/>
      <c r="I7" s="2"/>
      <c r="J7" s="3"/>
      <c r="K7" s="3"/>
    </row>
    <row r="8" spans="2:12" ht="25.5" customHeight="1" x14ac:dyDescent="0.25">
      <c r="B8" s="229" t="s">
        <v>8</v>
      </c>
      <c r="C8" s="230"/>
      <c r="D8" s="230"/>
      <c r="E8" s="230"/>
      <c r="F8" s="231"/>
      <c r="G8" s="56" t="s">
        <v>67</v>
      </c>
      <c r="H8" s="30" t="s">
        <v>64</v>
      </c>
      <c r="I8" s="30" t="s">
        <v>65</v>
      </c>
      <c r="J8" s="57" t="s">
        <v>158</v>
      </c>
      <c r="K8" s="30" t="s">
        <v>17</v>
      </c>
      <c r="L8" s="30" t="s">
        <v>40</v>
      </c>
    </row>
    <row r="9" spans="2:12" ht="16.5" customHeight="1" x14ac:dyDescent="0.25">
      <c r="B9" s="232">
        <v>1</v>
      </c>
      <c r="C9" s="233"/>
      <c r="D9" s="233"/>
      <c r="E9" s="233"/>
      <c r="F9" s="234"/>
      <c r="G9" s="31">
        <v>2</v>
      </c>
      <c r="H9" s="31">
        <v>3</v>
      </c>
      <c r="I9" s="31">
        <v>4</v>
      </c>
      <c r="J9" s="31">
        <v>5</v>
      </c>
      <c r="K9" s="31" t="s">
        <v>19</v>
      </c>
      <c r="L9" s="31" t="s">
        <v>20</v>
      </c>
    </row>
    <row r="10" spans="2:12" x14ac:dyDescent="0.25">
      <c r="B10" s="58"/>
      <c r="C10" s="58"/>
      <c r="D10" s="58"/>
      <c r="E10" s="58"/>
      <c r="F10" s="58" t="s">
        <v>68</v>
      </c>
      <c r="G10" s="59">
        <f>G11+G40</f>
        <v>7132764.2699999996</v>
      </c>
      <c r="H10" s="59">
        <f t="shared" ref="H10:J10" si="0">H11+H40</f>
        <v>8794937.5299999993</v>
      </c>
      <c r="I10" s="59">
        <f t="shared" si="0"/>
        <v>8794937.5299999993</v>
      </c>
      <c r="J10" s="59">
        <f t="shared" si="0"/>
        <v>7348495.9399999995</v>
      </c>
      <c r="K10" s="60">
        <f>IFERROR(J10/G10*100,"")</f>
        <v>103.02451702921623</v>
      </c>
      <c r="L10" s="60">
        <f>IFERROR(J10/I10*100,"")</f>
        <v>83.553702512768155</v>
      </c>
    </row>
    <row r="11" spans="2:12" ht="15.75" customHeight="1" x14ac:dyDescent="0.25">
      <c r="B11" s="61">
        <v>6</v>
      </c>
      <c r="C11" s="61"/>
      <c r="D11" s="61"/>
      <c r="E11" s="61"/>
      <c r="F11" s="61" t="s">
        <v>2</v>
      </c>
      <c r="G11" s="63">
        <f>G12+G23+G29+G36+G26</f>
        <v>7132764.2699999996</v>
      </c>
      <c r="H11" s="63">
        <f t="shared" ref="H11:J11" si="1">H12+H23+H29+H36+H26</f>
        <v>8794937.5299999993</v>
      </c>
      <c r="I11" s="63">
        <f t="shared" si="1"/>
        <v>8794937.5299999993</v>
      </c>
      <c r="J11" s="63">
        <f t="shared" si="1"/>
        <v>7348495.9399999995</v>
      </c>
      <c r="K11" s="64">
        <f>IFERROR(J11/G11*100,"")</f>
        <v>103.02451702921623</v>
      </c>
      <c r="L11" s="64">
        <f>IFERROR(J11/I11*100,"")</f>
        <v>83.553702512768155</v>
      </c>
    </row>
    <row r="12" spans="2:12" ht="25.5" x14ac:dyDescent="0.25">
      <c r="B12" s="65"/>
      <c r="C12" s="66">
        <v>63</v>
      </c>
      <c r="D12" s="66"/>
      <c r="E12" s="66"/>
      <c r="F12" s="66" t="s">
        <v>21</v>
      </c>
      <c r="G12" s="67">
        <f>G13+G15+G18+G20</f>
        <v>6264477.5099999998</v>
      </c>
      <c r="H12" s="67">
        <f t="shared" ref="H12:J12" si="2">H13+H15+H18+H20</f>
        <v>4938181.3599999994</v>
      </c>
      <c r="I12" s="67">
        <f t="shared" si="2"/>
        <v>4938181.3599999994</v>
      </c>
      <c r="J12" s="67">
        <f t="shared" si="2"/>
        <v>3898630.0399999996</v>
      </c>
      <c r="K12" s="68">
        <f>IFERROR(J12/G12*100,"")</f>
        <v>62.233921883774144</v>
      </c>
      <c r="L12" s="68">
        <f>IFERROR(J12/I12*100,"")</f>
        <v>78.948701065932497</v>
      </c>
    </row>
    <row r="13" spans="2:12" ht="25.5" x14ac:dyDescent="0.25">
      <c r="B13" s="65"/>
      <c r="C13" s="66"/>
      <c r="D13" s="66">
        <v>632</v>
      </c>
      <c r="E13" s="66"/>
      <c r="F13" s="66" t="s">
        <v>69</v>
      </c>
      <c r="G13" s="69">
        <f>G14</f>
        <v>4730.3999999999996</v>
      </c>
      <c r="H13" s="69">
        <f t="shared" ref="H13:J13" si="3">H14</f>
        <v>0</v>
      </c>
      <c r="I13" s="69">
        <f t="shared" si="3"/>
        <v>0</v>
      </c>
      <c r="J13" s="69">
        <f t="shared" si="3"/>
        <v>7680</v>
      </c>
      <c r="K13" s="68"/>
      <c r="L13" s="68"/>
    </row>
    <row r="14" spans="2:12" x14ac:dyDescent="0.25">
      <c r="B14" s="5"/>
      <c r="C14" s="9"/>
      <c r="D14" s="9"/>
      <c r="E14" s="9">
        <v>6321</v>
      </c>
      <c r="F14" s="9" t="s">
        <v>70</v>
      </c>
      <c r="G14" s="71">
        <v>4730.3999999999996</v>
      </c>
      <c r="H14" s="70">
        <v>0</v>
      </c>
      <c r="I14" s="70">
        <v>0</v>
      </c>
      <c r="J14" s="71">
        <v>7680</v>
      </c>
      <c r="K14" s="72"/>
      <c r="L14" s="72"/>
    </row>
    <row r="15" spans="2:12" x14ac:dyDescent="0.25">
      <c r="B15" s="73"/>
      <c r="C15" s="73"/>
      <c r="D15" s="73">
        <v>636</v>
      </c>
      <c r="E15" s="73"/>
      <c r="F15" s="73" t="s">
        <v>71</v>
      </c>
      <c r="G15" s="74">
        <f>G16+G17</f>
        <v>2718152.66</v>
      </c>
      <c r="H15" s="74">
        <f t="shared" ref="H15:J15" si="4">H16+H17</f>
        <v>4446193.29</v>
      </c>
      <c r="I15" s="74">
        <f t="shared" si="4"/>
        <v>4446193.29</v>
      </c>
      <c r="J15" s="74">
        <f t="shared" si="4"/>
        <v>3474518.3899999997</v>
      </c>
      <c r="K15" s="75">
        <f>IFERROR(J15/G15*100,"")</f>
        <v>127.82646247690883</v>
      </c>
      <c r="L15" s="75">
        <f>IFERROR(J15/I15*100,"")</f>
        <v>78.145914119716537</v>
      </c>
    </row>
    <row r="16" spans="2:12" x14ac:dyDescent="0.25">
      <c r="B16" s="6"/>
      <c r="C16" s="6"/>
      <c r="D16" s="6"/>
      <c r="E16" s="6">
        <v>6361</v>
      </c>
      <c r="F16" s="6" t="s">
        <v>72</v>
      </c>
      <c r="G16" s="77">
        <v>2716900.23</v>
      </c>
      <c r="H16" s="76">
        <v>4446193.29</v>
      </c>
      <c r="I16" s="76">
        <v>4446193.29</v>
      </c>
      <c r="J16" s="77">
        <v>3472666.8</v>
      </c>
      <c r="K16" s="78">
        <f>J16/G16*100</f>
        <v>127.81723677795853</v>
      </c>
      <c r="L16" s="78">
        <f>IFERROR(J16/I16*100,"")</f>
        <v>78.104269731377329</v>
      </c>
    </row>
    <row r="17" spans="2:12" x14ac:dyDescent="0.25">
      <c r="B17" s="6"/>
      <c r="C17" s="6"/>
      <c r="D17" s="6"/>
      <c r="E17" s="6">
        <v>6362</v>
      </c>
      <c r="F17" s="6" t="s">
        <v>73</v>
      </c>
      <c r="G17" s="79">
        <v>1252.43</v>
      </c>
      <c r="H17" s="76">
        <v>0</v>
      </c>
      <c r="I17" s="76">
        <v>0</v>
      </c>
      <c r="J17" s="79">
        <v>1851.59</v>
      </c>
      <c r="K17" s="78">
        <f>J17/G17*100</f>
        <v>147.83979942990823</v>
      </c>
      <c r="L17" s="78" t="str">
        <f>IFERROR(J17/I17*100,"")</f>
        <v/>
      </c>
    </row>
    <row r="18" spans="2:12" x14ac:dyDescent="0.25">
      <c r="B18" s="81"/>
      <c r="C18" s="81"/>
      <c r="D18" s="82">
        <v>638</v>
      </c>
      <c r="E18" s="81"/>
      <c r="F18" s="82" t="s">
        <v>74</v>
      </c>
      <c r="G18" s="83">
        <f>SUM(G19)</f>
        <v>3500451.54</v>
      </c>
      <c r="H18" s="83">
        <f t="shared" ref="H18:J18" si="5">SUM(H19)</f>
        <v>452714.8</v>
      </c>
      <c r="I18" s="83">
        <f t="shared" si="5"/>
        <v>452714.8</v>
      </c>
      <c r="J18" s="83">
        <f t="shared" si="5"/>
        <v>378901.1</v>
      </c>
      <c r="K18" s="84"/>
      <c r="L18" s="84"/>
    </row>
    <row r="19" spans="2:12" s="27" customFormat="1" x14ac:dyDescent="0.25">
      <c r="B19" s="6"/>
      <c r="C19" s="6"/>
      <c r="D19" s="6"/>
      <c r="E19" s="6">
        <v>6381</v>
      </c>
      <c r="F19" s="6" t="s">
        <v>75</v>
      </c>
      <c r="G19" s="79">
        <v>3500451.54</v>
      </c>
      <c r="H19" s="76">
        <v>452714.8</v>
      </c>
      <c r="I19" s="76">
        <v>452714.8</v>
      </c>
      <c r="J19" s="79">
        <v>378901.1</v>
      </c>
      <c r="K19" s="80">
        <f>J19/G19*100</f>
        <v>10.824349249525676</v>
      </c>
      <c r="L19" s="80">
        <f>J19/I19*100</f>
        <v>83.695319879093859</v>
      </c>
    </row>
    <row r="20" spans="2:12" ht="25.5" x14ac:dyDescent="0.25">
      <c r="B20" s="85"/>
      <c r="C20" s="85"/>
      <c r="D20" s="85">
        <v>639</v>
      </c>
      <c r="E20" s="85"/>
      <c r="F20" s="86" t="s">
        <v>76</v>
      </c>
      <c r="G20" s="83">
        <f>SUM(G21:G22)</f>
        <v>41142.910000000003</v>
      </c>
      <c r="H20" s="83">
        <f t="shared" ref="H20:J20" si="6">SUM(H21:H22)</f>
        <v>39273.270000000004</v>
      </c>
      <c r="I20" s="83">
        <f t="shared" si="6"/>
        <v>39273.270000000004</v>
      </c>
      <c r="J20" s="83">
        <f t="shared" si="6"/>
        <v>37530.550000000003</v>
      </c>
      <c r="K20" s="83"/>
      <c r="L20" s="83"/>
    </row>
    <row r="21" spans="2:12" ht="25.5" x14ac:dyDescent="0.25">
      <c r="B21" s="6"/>
      <c r="C21" s="6"/>
      <c r="D21" s="6"/>
      <c r="E21" s="6">
        <v>6391</v>
      </c>
      <c r="F21" s="24" t="s">
        <v>77</v>
      </c>
      <c r="G21" s="79">
        <v>7299.91</v>
      </c>
      <c r="H21" s="76">
        <f>2468.03+1341.35+2081.63</f>
        <v>5891.01</v>
      </c>
      <c r="I21" s="76">
        <f>2468.03+1341.35+2081.63</f>
        <v>5891.01</v>
      </c>
      <c r="J21" s="79">
        <v>5629.58</v>
      </c>
      <c r="K21" s="80">
        <f>J21/G21*100</f>
        <v>77.118485022418085</v>
      </c>
      <c r="L21" s="80">
        <f t="shared" ref="L21:L22" si="7">J21/I21*100</f>
        <v>95.562221079237688</v>
      </c>
    </row>
    <row r="22" spans="2:12" ht="25.5" x14ac:dyDescent="0.25">
      <c r="B22" s="6"/>
      <c r="C22" s="6"/>
      <c r="D22" s="6"/>
      <c r="E22" s="6">
        <v>6393</v>
      </c>
      <c r="F22" s="24" t="s">
        <v>78</v>
      </c>
      <c r="G22" s="79">
        <v>33843</v>
      </c>
      <c r="H22" s="76">
        <f>13985.41+7600.97+11795.88</f>
        <v>33382.26</v>
      </c>
      <c r="I22" s="76">
        <f>13985.41+7600.97+11795.88</f>
        <v>33382.26</v>
      </c>
      <c r="J22" s="79">
        <v>31900.97</v>
      </c>
      <c r="K22" s="80">
        <f>J22/G22*100</f>
        <v>94.261649380965054</v>
      </c>
      <c r="L22" s="80">
        <f t="shared" si="7"/>
        <v>95.562643152380929</v>
      </c>
    </row>
    <row r="23" spans="2:12" x14ac:dyDescent="0.25">
      <c r="B23" s="87"/>
      <c r="C23" s="87">
        <v>64</v>
      </c>
      <c r="D23" s="87"/>
      <c r="E23" s="87"/>
      <c r="F23" s="87" t="s">
        <v>79</v>
      </c>
      <c r="G23" s="67">
        <f>G24</f>
        <v>0.32</v>
      </c>
      <c r="H23" s="67">
        <f t="shared" ref="H23:J24" si="8">H24</f>
        <v>2.12</v>
      </c>
      <c r="I23" s="67">
        <f t="shared" si="8"/>
        <v>2.12</v>
      </c>
      <c r="J23" s="67">
        <f t="shared" si="8"/>
        <v>3.03</v>
      </c>
      <c r="K23" s="68">
        <f t="shared" ref="K23:K31" si="9">IFERROR(J23/G23*100,"")</f>
        <v>946.875</v>
      </c>
      <c r="L23" s="68">
        <f t="shared" ref="L23:L43" si="10">IFERROR(J23/I23*100,"")</f>
        <v>142.92452830188677</v>
      </c>
    </row>
    <row r="24" spans="2:12" ht="15.75" customHeight="1" x14ac:dyDescent="0.25">
      <c r="B24" s="73"/>
      <c r="C24" s="73"/>
      <c r="D24" s="73">
        <v>641</v>
      </c>
      <c r="E24" s="73"/>
      <c r="F24" s="73" t="s">
        <v>80</v>
      </c>
      <c r="G24" s="88">
        <f>G25</f>
        <v>0.32</v>
      </c>
      <c r="H24" s="88">
        <f t="shared" si="8"/>
        <v>2.12</v>
      </c>
      <c r="I24" s="88">
        <f t="shared" si="8"/>
        <v>2.12</v>
      </c>
      <c r="J24" s="88">
        <f t="shared" si="8"/>
        <v>3.03</v>
      </c>
      <c r="K24" s="75">
        <f t="shared" si="9"/>
        <v>946.875</v>
      </c>
      <c r="L24" s="75">
        <f t="shared" si="10"/>
        <v>142.92452830188677</v>
      </c>
    </row>
    <row r="25" spans="2:12" ht="25.5" customHeight="1" x14ac:dyDescent="0.25">
      <c r="B25" s="6"/>
      <c r="C25" s="6"/>
      <c r="D25" s="6"/>
      <c r="E25" s="6">
        <v>6413</v>
      </c>
      <c r="F25" s="6" t="s">
        <v>81</v>
      </c>
      <c r="G25" s="77">
        <v>0.32</v>
      </c>
      <c r="H25" s="76">
        <v>2.12</v>
      </c>
      <c r="I25" s="76">
        <v>2.12</v>
      </c>
      <c r="J25" s="77">
        <v>3.03</v>
      </c>
      <c r="K25" s="78">
        <f t="shared" si="9"/>
        <v>946.875</v>
      </c>
      <c r="L25" s="78">
        <f t="shared" si="10"/>
        <v>142.92452830188677</v>
      </c>
    </row>
    <row r="26" spans="2:12" ht="12.75" customHeight="1" x14ac:dyDescent="0.25">
      <c r="B26" s="87"/>
      <c r="C26" s="87">
        <v>65</v>
      </c>
      <c r="D26" s="87"/>
      <c r="E26" s="87"/>
      <c r="F26" s="87"/>
      <c r="G26" s="67">
        <f>G27</f>
        <v>19830.02</v>
      </c>
      <c r="H26" s="67">
        <f t="shared" ref="H26:J27" si="11">H27</f>
        <v>14305</v>
      </c>
      <c r="I26" s="67">
        <f t="shared" si="11"/>
        <v>14305</v>
      </c>
      <c r="J26" s="67">
        <f t="shared" si="11"/>
        <v>14585</v>
      </c>
      <c r="K26" s="68">
        <f t="shared" si="9"/>
        <v>73.550102319614396</v>
      </c>
      <c r="L26" s="68">
        <f t="shared" si="10"/>
        <v>101.95735756728416</v>
      </c>
    </row>
    <row r="27" spans="2:12" x14ac:dyDescent="0.25">
      <c r="B27" s="73"/>
      <c r="C27" s="73"/>
      <c r="D27" s="73">
        <v>652</v>
      </c>
      <c r="E27" s="73"/>
      <c r="F27" s="73" t="s">
        <v>82</v>
      </c>
      <c r="G27" s="74">
        <f>G28</f>
        <v>19830.02</v>
      </c>
      <c r="H27" s="74">
        <f t="shared" si="11"/>
        <v>14305</v>
      </c>
      <c r="I27" s="74">
        <f t="shared" si="11"/>
        <v>14305</v>
      </c>
      <c r="J27" s="74">
        <f t="shared" si="11"/>
        <v>14585</v>
      </c>
      <c r="K27" s="75">
        <f t="shared" si="9"/>
        <v>73.550102319614396</v>
      </c>
      <c r="L27" s="75">
        <f t="shared" si="10"/>
        <v>101.95735756728416</v>
      </c>
    </row>
    <row r="28" spans="2:12" x14ac:dyDescent="0.25">
      <c r="B28" s="6"/>
      <c r="C28" s="6"/>
      <c r="D28" s="6"/>
      <c r="E28" s="6">
        <v>6526</v>
      </c>
      <c r="F28" s="6" t="s">
        <v>83</v>
      </c>
      <c r="G28" s="77">
        <v>19830.02</v>
      </c>
      <c r="H28" s="76">
        <v>14305</v>
      </c>
      <c r="I28" s="76">
        <v>14305</v>
      </c>
      <c r="J28" s="77">
        <v>14585</v>
      </c>
      <c r="K28" s="78">
        <f t="shared" si="9"/>
        <v>73.550102319614396</v>
      </c>
      <c r="L28" s="78">
        <f t="shared" si="10"/>
        <v>101.95735756728416</v>
      </c>
    </row>
    <row r="29" spans="2:12" ht="25.5" x14ac:dyDescent="0.25">
      <c r="B29" s="87"/>
      <c r="C29" s="87">
        <v>66</v>
      </c>
      <c r="D29" s="89"/>
      <c r="E29" s="89"/>
      <c r="F29" s="66" t="s">
        <v>22</v>
      </c>
      <c r="G29" s="67">
        <f>G30+G33</f>
        <v>69967.86</v>
      </c>
      <c r="H29" s="67">
        <f t="shared" ref="H29:J29" si="12">H30+H33</f>
        <v>53875</v>
      </c>
      <c r="I29" s="67">
        <f t="shared" si="12"/>
        <v>53875</v>
      </c>
      <c r="J29" s="67">
        <f t="shared" si="12"/>
        <v>68742.83</v>
      </c>
      <c r="K29" s="68">
        <f t="shared" si="9"/>
        <v>98.2491532540798</v>
      </c>
      <c r="L29" s="78">
        <f t="shared" si="10"/>
        <v>127.59690023201857</v>
      </c>
    </row>
    <row r="30" spans="2:12" x14ac:dyDescent="0.25">
      <c r="B30" s="73"/>
      <c r="C30" s="90"/>
      <c r="D30" s="91">
        <v>663</v>
      </c>
      <c r="E30" s="91"/>
      <c r="F30" s="92" t="s">
        <v>84</v>
      </c>
      <c r="G30" s="74">
        <f>SUM(G31:G32)</f>
        <v>6314.23</v>
      </c>
      <c r="H30" s="74">
        <f t="shared" ref="H30:J30" si="13">SUM(H31:H32)</f>
        <v>3875</v>
      </c>
      <c r="I30" s="74">
        <f t="shared" si="13"/>
        <v>3875</v>
      </c>
      <c r="J30" s="74">
        <f t="shared" si="13"/>
        <v>5475</v>
      </c>
      <c r="K30" s="75">
        <f t="shared" si="9"/>
        <v>86.708909874996635</v>
      </c>
      <c r="L30" s="78">
        <f t="shared" si="10"/>
        <v>141.29032258064515</v>
      </c>
    </row>
    <row r="31" spans="2:12" x14ac:dyDescent="0.25">
      <c r="B31" s="6"/>
      <c r="C31" s="18"/>
      <c r="D31" s="7"/>
      <c r="E31" s="7">
        <v>6631</v>
      </c>
      <c r="F31" s="9" t="s">
        <v>85</v>
      </c>
      <c r="G31" s="79">
        <v>3275</v>
      </c>
      <c r="H31" s="76">
        <v>3875</v>
      </c>
      <c r="I31" s="76">
        <v>3875</v>
      </c>
      <c r="J31" s="79">
        <v>5475</v>
      </c>
      <c r="K31" s="80">
        <f t="shared" si="9"/>
        <v>167.17557251908397</v>
      </c>
      <c r="L31" s="78">
        <f t="shared" si="10"/>
        <v>141.29032258064515</v>
      </c>
    </row>
    <row r="32" spans="2:12" x14ac:dyDescent="0.25">
      <c r="B32" s="6"/>
      <c r="C32" s="18"/>
      <c r="D32" s="7"/>
      <c r="E32" s="7">
        <v>6632</v>
      </c>
      <c r="F32" s="9" t="s">
        <v>86</v>
      </c>
      <c r="G32" s="79">
        <v>3039.23</v>
      </c>
      <c r="H32" s="76"/>
      <c r="I32" s="76"/>
      <c r="J32" s="79"/>
      <c r="K32" s="80"/>
      <c r="L32" s="78" t="str">
        <f t="shared" si="10"/>
        <v/>
      </c>
    </row>
    <row r="33" spans="2:12" x14ac:dyDescent="0.25">
      <c r="B33" s="93"/>
      <c r="C33" s="94"/>
      <c r="D33" s="95">
        <v>661</v>
      </c>
      <c r="E33" s="95"/>
      <c r="F33" s="96" t="s">
        <v>87</v>
      </c>
      <c r="G33" s="98">
        <f>G34+G35</f>
        <v>63653.63</v>
      </c>
      <c r="H33" s="98">
        <f t="shared" ref="H33:J33" si="14">H34+H35</f>
        <v>50000</v>
      </c>
      <c r="I33" s="98">
        <f t="shared" si="14"/>
        <v>50000</v>
      </c>
      <c r="J33" s="98">
        <f t="shared" si="14"/>
        <v>63267.83</v>
      </c>
      <c r="K33" s="99">
        <f>J33/G33*100</f>
        <v>99.393907307407304</v>
      </c>
      <c r="L33" s="78">
        <f t="shared" si="10"/>
        <v>126.53566000000001</v>
      </c>
    </row>
    <row r="34" spans="2:12" x14ac:dyDescent="0.25">
      <c r="B34" s="6"/>
      <c r="C34" s="18"/>
      <c r="D34" s="7"/>
      <c r="E34" s="7">
        <v>6614</v>
      </c>
      <c r="F34" s="9" t="s">
        <v>23</v>
      </c>
      <c r="G34" s="79">
        <v>0</v>
      </c>
      <c r="H34" s="76"/>
      <c r="I34" s="76"/>
      <c r="J34" s="79"/>
      <c r="K34" s="80"/>
      <c r="L34" s="78" t="str">
        <f t="shared" si="10"/>
        <v/>
      </c>
    </row>
    <row r="35" spans="2:12" x14ac:dyDescent="0.25">
      <c r="B35" s="6"/>
      <c r="C35" s="6"/>
      <c r="D35" s="7"/>
      <c r="E35" s="7">
        <v>6615</v>
      </c>
      <c r="F35" s="9" t="s">
        <v>88</v>
      </c>
      <c r="G35" s="79">
        <v>63653.63</v>
      </c>
      <c r="H35" s="76">
        <v>50000</v>
      </c>
      <c r="I35" s="76">
        <v>50000</v>
      </c>
      <c r="J35" s="79">
        <v>63267.83</v>
      </c>
      <c r="K35" s="80">
        <f t="shared" ref="K35:K38" si="15">IFERROR(J35/G35*100,"")</f>
        <v>99.393907307407304</v>
      </c>
      <c r="L35" s="78">
        <f t="shared" si="10"/>
        <v>126.53566000000001</v>
      </c>
    </row>
    <row r="36" spans="2:12" x14ac:dyDescent="0.25">
      <c r="B36" s="100"/>
      <c r="C36" s="87">
        <v>67</v>
      </c>
      <c r="D36" s="89"/>
      <c r="E36" s="89"/>
      <c r="F36" s="66" t="s">
        <v>89</v>
      </c>
      <c r="G36" s="67">
        <f>G37</f>
        <v>778488.56</v>
      </c>
      <c r="H36" s="67">
        <f t="shared" ref="H36:J36" si="16">H37</f>
        <v>3788574.05</v>
      </c>
      <c r="I36" s="67">
        <f t="shared" si="16"/>
        <v>3788574.05</v>
      </c>
      <c r="J36" s="67">
        <f t="shared" si="16"/>
        <v>3366535.04</v>
      </c>
      <c r="K36" s="68">
        <f t="shared" si="15"/>
        <v>432.44502398339677</v>
      </c>
      <c r="L36" s="78">
        <f t="shared" si="10"/>
        <v>88.860214834655267</v>
      </c>
    </row>
    <row r="37" spans="2:12" x14ac:dyDescent="0.25">
      <c r="B37" s="73"/>
      <c r="C37" s="73"/>
      <c r="D37" s="91">
        <v>671</v>
      </c>
      <c r="E37" s="91"/>
      <c r="F37" s="101" t="s">
        <v>89</v>
      </c>
      <c r="G37" s="74">
        <f>SUM(G38:G39)</f>
        <v>778488.56</v>
      </c>
      <c r="H37" s="74">
        <f t="shared" ref="H37:J37" si="17">SUM(H38:H39)</f>
        <v>3788574.05</v>
      </c>
      <c r="I37" s="74">
        <f t="shared" si="17"/>
        <v>3788574.05</v>
      </c>
      <c r="J37" s="74">
        <f t="shared" si="17"/>
        <v>3366535.04</v>
      </c>
      <c r="K37" s="75">
        <f t="shared" si="15"/>
        <v>432.44502398339677</v>
      </c>
      <c r="L37" s="78">
        <f t="shared" si="10"/>
        <v>88.860214834655267</v>
      </c>
    </row>
    <row r="38" spans="2:12" x14ac:dyDescent="0.25">
      <c r="B38" s="6"/>
      <c r="C38" s="6"/>
      <c r="D38" s="6"/>
      <c r="E38" s="6">
        <v>6711</v>
      </c>
      <c r="F38" s="24" t="s">
        <v>90</v>
      </c>
      <c r="G38" s="79">
        <v>778488.56</v>
      </c>
      <c r="H38" s="76">
        <v>597317.84</v>
      </c>
      <c r="I38" s="76">
        <v>597317.84</v>
      </c>
      <c r="J38" s="79">
        <v>542688.75</v>
      </c>
      <c r="K38" s="80">
        <f t="shared" si="15"/>
        <v>69.710561963813561</v>
      </c>
      <c r="L38" s="78">
        <f t="shared" si="10"/>
        <v>90.854267804892615</v>
      </c>
    </row>
    <row r="39" spans="2:12" x14ac:dyDescent="0.25">
      <c r="B39" s="6"/>
      <c r="C39" s="6"/>
      <c r="D39" s="6"/>
      <c r="E39" s="6">
        <v>6712</v>
      </c>
      <c r="F39" s="24" t="s">
        <v>91</v>
      </c>
      <c r="G39" s="79"/>
      <c r="H39" s="76">
        <v>3191256.21</v>
      </c>
      <c r="I39" s="76">
        <v>3191256.21</v>
      </c>
      <c r="J39" s="79">
        <v>2823846.29</v>
      </c>
      <c r="K39" s="80"/>
      <c r="L39" s="78">
        <f t="shared" si="10"/>
        <v>88.486981432305626</v>
      </c>
    </row>
    <row r="40" spans="2:12" x14ac:dyDescent="0.25">
      <c r="B40" s="102">
        <v>7</v>
      </c>
      <c r="C40" s="103"/>
      <c r="D40" s="103"/>
      <c r="E40" s="103"/>
      <c r="F40" s="104" t="s">
        <v>3</v>
      </c>
      <c r="G40" s="63"/>
      <c r="H40" s="62"/>
      <c r="I40" s="62"/>
      <c r="J40" s="63"/>
      <c r="K40" s="105"/>
      <c r="L40" s="105"/>
    </row>
    <row r="41" spans="2:12" x14ac:dyDescent="0.25">
      <c r="B41" s="6"/>
      <c r="C41" s="6">
        <v>72</v>
      </c>
      <c r="D41" s="6"/>
      <c r="E41" s="6"/>
      <c r="F41" s="24" t="s">
        <v>92</v>
      </c>
      <c r="G41" s="79"/>
      <c r="H41" s="76"/>
      <c r="I41" s="70"/>
      <c r="J41" s="79"/>
      <c r="K41" s="80"/>
      <c r="L41" s="78" t="str">
        <f t="shared" si="10"/>
        <v/>
      </c>
    </row>
    <row r="42" spans="2:12" x14ac:dyDescent="0.25">
      <c r="B42" s="6"/>
      <c r="C42" s="6"/>
      <c r="D42" s="6">
        <v>721</v>
      </c>
      <c r="E42" s="6"/>
      <c r="F42" s="24" t="s">
        <v>25</v>
      </c>
      <c r="G42" s="79"/>
      <c r="H42" s="76"/>
      <c r="I42" s="76"/>
      <c r="J42" s="79"/>
      <c r="K42" s="80"/>
      <c r="L42" s="78" t="str">
        <f t="shared" si="10"/>
        <v/>
      </c>
    </row>
    <row r="43" spans="2:12" x14ac:dyDescent="0.25">
      <c r="B43" s="6"/>
      <c r="C43" s="6"/>
      <c r="D43" s="6"/>
      <c r="E43" s="6">
        <v>7211</v>
      </c>
      <c r="F43" s="24" t="s">
        <v>26</v>
      </c>
      <c r="G43" s="79"/>
      <c r="H43" s="76"/>
      <c r="I43" s="76"/>
      <c r="J43" s="79"/>
      <c r="K43" s="80" t="str">
        <f>IFERROR(J43/G43*100,"")</f>
        <v/>
      </c>
      <c r="L43" s="78" t="str">
        <f t="shared" si="10"/>
        <v/>
      </c>
    </row>
    <row r="44" spans="2:12" x14ac:dyDescent="0.25">
      <c r="B44" s="106"/>
      <c r="C44" s="106"/>
      <c r="D44" s="106"/>
      <c r="E44" s="106"/>
      <c r="F44" s="107"/>
      <c r="G44" s="55"/>
      <c r="H44" s="108"/>
      <c r="I44" s="108"/>
      <c r="J44" s="55"/>
      <c r="K44" s="109"/>
      <c r="L44" s="110"/>
    </row>
    <row r="45" spans="2:12" x14ac:dyDescent="0.25">
      <c r="B45" s="106"/>
      <c r="C45" s="106"/>
      <c r="D45" s="106"/>
      <c r="E45" s="106"/>
      <c r="F45" s="107"/>
      <c r="G45" s="55"/>
      <c r="H45" s="108"/>
      <c r="I45" s="108"/>
      <c r="J45" s="55"/>
      <c r="K45" s="109"/>
      <c r="L45" s="110"/>
    </row>
    <row r="46" spans="2:12" x14ac:dyDescent="0.25">
      <c r="H46" s="55"/>
    </row>
    <row r="47" spans="2:12" ht="18" x14ac:dyDescent="0.25">
      <c r="B47" s="2"/>
      <c r="C47" s="2"/>
      <c r="D47" s="2"/>
      <c r="E47" s="2"/>
      <c r="F47" s="2"/>
      <c r="G47" s="3"/>
      <c r="H47" s="2"/>
      <c r="I47" s="2"/>
      <c r="J47" s="3"/>
      <c r="K47" s="3"/>
      <c r="L47" s="3"/>
    </row>
    <row r="48" spans="2:12" ht="25.5" x14ac:dyDescent="0.25">
      <c r="B48" s="229" t="s">
        <v>8</v>
      </c>
      <c r="C48" s="230"/>
      <c r="D48" s="230"/>
      <c r="E48" s="230"/>
      <c r="F48" s="231"/>
      <c r="G48" s="56" t="s">
        <v>67</v>
      </c>
      <c r="H48" s="30" t="s">
        <v>64</v>
      </c>
      <c r="I48" s="30" t="s">
        <v>65</v>
      </c>
      <c r="J48" s="57" t="s">
        <v>158</v>
      </c>
      <c r="K48" s="30" t="s">
        <v>17</v>
      </c>
      <c r="L48" s="30" t="s">
        <v>40</v>
      </c>
    </row>
    <row r="49" spans="2:12" x14ac:dyDescent="0.25">
      <c r="B49" s="232">
        <v>1</v>
      </c>
      <c r="C49" s="233"/>
      <c r="D49" s="233"/>
      <c r="E49" s="233"/>
      <c r="F49" s="234"/>
      <c r="G49" s="31">
        <v>5</v>
      </c>
      <c r="H49" s="31">
        <v>4</v>
      </c>
      <c r="I49" s="31">
        <v>3</v>
      </c>
      <c r="J49" s="31"/>
      <c r="K49" s="31" t="s">
        <v>19</v>
      </c>
      <c r="L49" s="31" t="s">
        <v>20</v>
      </c>
    </row>
    <row r="50" spans="2:12" x14ac:dyDescent="0.25">
      <c r="B50" s="58"/>
      <c r="C50" s="58"/>
      <c r="D50" s="58"/>
      <c r="E50" s="58"/>
      <c r="F50" s="58" t="s">
        <v>33</v>
      </c>
      <c r="G50" s="59">
        <f>G51+G119</f>
        <v>7515063.9700000007</v>
      </c>
      <c r="H50" s="59">
        <f t="shared" ref="H50:J50" si="18">H51+H119</f>
        <v>9607384.3500000015</v>
      </c>
      <c r="I50" s="59">
        <f t="shared" si="18"/>
        <v>9607384.3500000015</v>
      </c>
      <c r="J50" s="59">
        <f t="shared" si="18"/>
        <v>8153841</v>
      </c>
      <c r="K50" s="60">
        <f t="shared" ref="K50:K82" si="19">IFERROR(J50/G50*100,"")</f>
        <v>108.49995465840325</v>
      </c>
      <c r="L50" s="60">
        <f t="shared" ref="L50:L82" si="20">IFERROR(J50/I50*100,"")</f>
        <v>84.870561049220427</v>
      </c>
    </row>
    <row r="51" spans="2:12" x14ac:dyDescent="0.25">
      <c r="B51" s="61">
        <v>3</v>
      </c>
      <c r="C51" s="61"/>
      <c r="D51" s="61"/>
      <c r="E51" s="61"/>
      <c r="F51" s="61" t="s">
        <v>4</v>
      </c>
      <c r="G51" s="63">
        <f>G52+G60+G93+G108+G112+G100+G103</f>
        <v>4620563.6800000006</v>
      </c>
      <c r="H51" s="63">
        <f t="shared" ref="H51:J51" si="21">H52+H60+H93+H108+H112+H100+H103</f>
        <v>3901339.7600000007</v>
      </c>
      <c r="I51" s="63">
        <f t="shared" si="21"/>
        <v>3901339.7600000007</v>
      </c>
      <c r="J51" s="63">
        <f t="shared" si="21"/>
        <v>3744142.87</v>
      </c>
      <c r="K51" s="64">
        <f t="shared" si="19"/>
        <v>81.032166837272101</v>
      </c>
      <c r="L51" s="64">
        <f t="shared" si="20"/>
        <v>95.970694692840581</v>
      </c>
    </row>
    <row r="52" spans="2:12" x14ac:dyDescent="0.25">
      <c r="B52" s="65"/>
      <c r="C52" s="65">
        <v>31</v>
      </c>
      <c r="D52" s="66"/>
      <c r="E52" s="66"/>
      <c r="F52" s="66" t="s">
        <v>5</v>
      </c>
      <c r="G52" s="67">
        <f>G53+G55+G57</f>
        <v>2515708.9699999997</v>
      </c>
      <c r="H52" s="67">
        <f t="shared" ref="H52:J52" si="22">H53+H55+H57</f>
        <v>2886479.22</v>
      </c>
      <c r="I52" s="67">
        <f t="shared" si="22"/>
        <v>2886479.22</v>
      </c>
      <c r="J52" s="67">
        <f t="shared" si="22"/>
        <v>2934790.6999999997</v>
      </c>
      <c r="K52" s="68">
        <f t="shared" si="19"/>
        <v>116.65859346202514</v>
      </c>
      <c r="L52" s="68">
        <f t="shared" si="20"/>
        <v>101.67371653553769</v>
      </c>
    </row>
    <row r="53" spans="2:12" x14ac:dyDescent="0.25">
      <c r="B53" s="73"/>
      <c r="C53" s="73"/>
      <c r="D53" s="73">
        <v>311</v>
      </c>
      <c r="E53" s="73"/>
      <c r="F53" s="73" t="s">
        <v>27</v>
      </c>
      <c r="G53" s="111">
        <f>G54</f>
        <v>2079288.17</v>
      </c>
      <c r="H53" s="111">
        <f t="shared" ref="H53:J53" si="23">H54</f>
        <v>2446474.06</v>
      </c>
      <c r="I53" s="111">
        <f t="shared" si="23"/>
        <v>2446474.06</v>
      </c>
      <c r="J53" s="111">
        <f t="shared" si="23"/>
        <v>2435740.5099999998</v>
      </c>
      <c r="K53" s="112">
        <f t="shared" si="19"/>
        <v>117.14299850991794</v>
      </c>
      <c r="L53" s="112">
        <f t="shared" si="20"/>
        <v>99.561264508155048</v>
      </c>
    </row>
    <row r="54" spans="2:12" x14ac:dyDescent="0.25">
      <c r="B54" s="6"/>
      <c r="C54" s="6"/>
      <c r="D54" s="6"/>
      <c r="E54" s="6">
        <v>3111</v>
      </c>
      <c r="F54" s="6" t="s">
        <v>28</v>
      </c>
      <c r="G54" s="79">
        <v>2079288.17</v>
      </c>
      <c r="H54" s="76">
        <f>2886479.22-90000-350000-5.16</f>
        <v>2446474.06</v>
      </c>
      <c r="I54" s="76">
        <f>2886479.22-90000-350000-5.16</f>
        <v>2446474.06</v>
      </c>
      <c r="J54" s="79">
        <v>2435740.5099999998</v>
      </c>
      <c r="K54" s="80">
        <f t="shared" si="19"/>
        <v>117.14299850991794</v>
      </c>
      <c r="L54" s="80">
        <f t="shared" si="20"/>
        <v>99.561264508155048</v>
      </c>
    </row>
    <row r="55" spans="2:12" x14ac:dyDescent="0.25">
      <c r="B55" s="73"/>
      <c r="C55" s="73"/>
      <c r="D55" s="73">
        <v>312</v>
      </c>
      <c r="E55" s="73"/>
      <c r="F55" s="73"/>
      <c r="G55" s="74">
        <f>G56</f>
        <v>93641.17</v>
      </c>
      <c r="H55" s="74">
        <f t="shared" ref="H55:J55" si="24">H56</f>
        <v>90000</v>
      </c>
      <c r="I55" s="74">
        <f t="shared" si="24"/>
        <v>90000</v>
      </c>
      <c r="J55" s="74">
        <f t="shared" si="24"/>
        <v>101726.12</v>
      </c>
      <c r="K55" s="75">
        <f t="shared" si="19"/>
        <v>108.63396943886967</v>
      </c>
      <c r="L55" s="75">
        <f t="shared" si="20"/>
        <v>113.02902222222222</v>
      </c>
    </row>
    <row r="56" spans="2:12" x14ac:dyDescent="0.25">
      <c r="B56" s="6"/>
      <c r="C56" s="6"/>
      <c r="D56" s="6"/>
      <c r="E56" s="6">
        <v>3121</v>
      </c>
      <c r="F56" s="6" t="s">
        <v>93</v>
      </c>
      <c r="G56" s="79">
        <v>93641.17</v>
      </c>
      <c r="H56" s="76">
        <v>90000</v>
      </c>
      <c r="I56" s="76">
        <v>90000</v>
      </c>
      <c r="J56" s="79">
        <v>101726.12</v>
      </c>
      <c r="K56" s="80">
        <f t="shared" si="19"/>
        <v>108.63396943886967</v>
      </c>
      <c r="L56" s="80">
        <f t="shared" si="20"/>
        <v>113.02902222222222</v>
      </c>
    </row>
    <row r="57" spans="2:12" x14ac:dyDescent="0.25">
      <c r="B57" s="73"/>
      <c r="C57" s="73"/>
      <c r="D57" s="73">
        <v>313</v>
      </c>
      <c r="E57" s="73"/>
      <c r="F57" s="73" t="s">
        <v>94</v>
      </c>
      <c r="G57" s="74">
        <f>SUM(G58:G59)</f>
        <v>342779.63</v>
      </c>
      <c r="H57" s="74">
        <f t="shared" ref="H57:J57" si="25">SUM(H58:H59)</f>
        <v>350005.16</v>
      </c>
      <c r="I57" s="74">
        <f t="shared" si="25"/>
        <v>350005.16</v>
      </c>
      <c r="J57" s="74">
        <f t="shared" si="25"/>
        <v>397324.06999999995</v>
      </c>
      <c r="K57" s="75">
        <f t="shared" si="19"/>
        <v>115.9123924604271</v>
      </c>
      <c r="L57" s="75">
        <f t="shared" si="20"/>
        <v>113.51948925552983</v>
      </c>
    </row>
    <row r="58" spans="2:12" x14ac:dyDescent="0.25">
      <c r="B58" s="6"/>
      <c r="C58" s="6"/>
      <c r="D58" s="6"/>
      <c r="E58" s="6">
        <v>3132</v>
      </c>
      <c r="F58" s="6" t="s">
        <v>95</v>
      </c>
      <c r="G58" s="79">
        <v>342723.5</v>
      </c>
      <c r="H58" s="76">
        <v>350000</v>
      </c>
      <c r="I58" s="76">
        <v>350000</v>
      </c>
      <c r="J58" s="79">
        <v>397318.91</v>
      </c>
      <c r="K58" s="80">
        <f t="shared" si="19"/>
        <v>115.92987058080347</v>
      </c>
      <c r="L58" s="80">
        <f t="shared" si="20"/>
        <v>113.51968857142856</v>
      </c>
    </row>
    <row r="59" spans="2:12" x14ac:dyDescent="0.25">
      <c r="B59" s="6"/>
      <c r="C59" s="6"/>
      <c r="D59" s="6"/>
      <c r="E59" s="6">
        <v>3133</v>
      </c>
      <c r="F59" s="6" t="s">
        <v>96</v>
      </c>
      <c r="G59" s="79">
        <v>56.13</v>
      </c>
      <c r="H59" s="76">
        <v>5.16</v>
      </c>
      <c r="I59" s="76">
        <v>5.16</v>
      </c>
      <c r="J59" s="79">
        <v>5.16</v>
      </c>
      <c r="K59" s="80">
        <f t="shared" si="19"/>
        <v>9.1929449492250122</v>
      </c>
      <c r="L59" s="80">
        <f t="shared" si="20"/>
        <v>100</v>
      </c>
    </row>
    <row r="60" spans="2:12" x14ac:dyDescent="0.25">
      <c r="B60" s="87"/>
      <c r="C60" s="100">
        <v>32</v>
      </c>
      <c r="D60" s="89"/>
      <c r="E60" s="89"/>
      <c r="F60" s="87" t="s">
        <v>13</v>
      </c>
      <c r="G60" s="67">
        <f>G61+G66+G73+G85</f>
        <v>1665053.35</v>
      </c>
      <c r="H60" s="67">
        <f t="shared" ref="H60:J60" si="26">H61+H66+H73+H85</f>
        <v>872408.6</v>
      </c>
      <c r="I60" s="67">
        <f t="shared" si="26"/>
        <v>872408.6</v>
      </c>
      <c r="J60" s="67">
        <f t="shared" si="26"/>
        <v>642250.06999999995</v>
      </c>
      <c r="K60" s="68">
        <f t="shared" si="19"/>
        <v>38.57234184117884</v>
      </c>
      <c r="L60" s="68">
        <f t="shared" si="20"/>
        <v>73.618035172968249</v>
      </c>
    </row>
    <row r="61" spans="2:12" x14ac:dyDescent="0.25">
      <c r="B61" s="73"/>
      <c r="C61" s="73"/>
      <c r="D61" s="73">
        <v>321</v>
      </c>
      <c r="E61" s="73"/>
      <c r="F61" s="73" t="s">
        <v>29</v>
      </c>
      <c r="G61" s="74">
        <f>SUM(G62:G65)</f>
        <v>130762.06</v>
      </c>
      <c r="H61" s="74">
        <f t="shared" ref="H61:J61" si="27">SUM(H62:H65)</f>
        <v>108103.33</v>
      </c>
      <c r="I61" s="74">
        <f t="shared" si="27"/>
        <v>108103.33</v>
      </c>
      <c r="J61" s="74">
        <f t="shared" si="27"/>
        <v>83506.97</v>
      </c>
      <c r="K61" s="75">
        <f t="shared" si="19"/>
        <v>63.861773055578965</v>
      </c>
      <c r="L61" s="75">
        <f t="shared" si="20"/>
        <v>77.247361390255037</v>
      </c>
    </row>
    <row r="62" spans="2:12" x14ac:dyDescent="0.25">
      <c r="B62" s="6"/>
      <c r="C62" s="18"/>
      <c r="D62" s="6"/>
      <c r="E62" s="6">
        <v>3211</v>
      </c>
      <c r="F62" s="24" t="s">
        <v>30</v>
      </c>
      <c r="G62" s="79">
        <v>91975.44</v>
      </c>
      <c r="H62" s="76">
        <v>70000</v>
      </c>
      <c r="I62" s="76">
        <v>70000</v>
      </c>
      <c r="J62" s="79">
        <v>45673.09</v>
      </c>
      <c r="K62" s="80">
        <f t="shared" si="19"/>
        <v>49.65791954895785</v>
      </c>
      <c r="L62" s="80">
        <f t="shared" si="20"/>
        <v>65.247271428571423</v>
      </c>
    </row>
    <row r="63" spans="2:12" x14ac:dyDescent="0.25">
      <c r="B63" s="6"/>
      <c r="C63" s="18"/>
      <c r="D63" s="7"/>
      <c r="E63" s="7">
        <v>3212</v>
      </c>
      <c r="F63" s="7" t="s">
        <v>97</v>
      </c>
      <c r="G63" s="79">
        <v>38281.620000000003</v>
      </c>
      <c r="H63" s="76">
        <v>35103.33</v>
      </c>
      <c r="I63" s="76">
        <v>35103.33</v>
      </c>
      <c r="J63" s="79">
        <v>36667.879999999997</v>
      </c>
      <c r="K63" s="80">
        <f t="shared" si="19"/>
        <v>95.784556661917648</v>
      </c>
      <c r="L63" s="80">
        <f t="shared" si="20"/>
        <v>104.45698456528196</v>
      </c>
    </row>
    <row r="64" spans="2:12" x14ac:dyDescent="0.25">
      <c r="B64" s="6"/>
      <c r="C64" s="18"/>
      <c r="D64" s="7"/>
      <c r="E64" s="7">
        <v>3213</v>
      </c>
      <c r="F64" s="7" t="s">
        <v>98</v>
      </c>
      <c r="G64" s="79">
        <v>505</v>
      </c>
      <c r="H64" s="76">
        <v>3000</v>
      </c>
      <c r="I64" s="76">
        <v>3000</v>
      </c>
      <c r="J64" s="79">
        <v>1166</v>
      </c>
      <c r="K64" s="80">
        <f t="shared" si="19"/>
        <v>230.89108910891088</v>
      </c>
      <c r="L64" s="80">
        <f t="shared" si="20"/>
        <v>38.866666666666667</v>
      </c>
    </row>
    <row r="65" spans="2:12" x14ac:dyDescent="0.25">
      <c r="B65" s="6"/>
      <c r="C65" s="18"/>
      <c r="D65" s="7"/>
      <c r="E65" s="7">
        <v>3214</v>
      </c>
      <c r="F65" s="7" t="s">
        <v>99</v>
      </c>
      <c r="G65" s="79"/>
      <c r="H65" s="76"/>
      <c r="I65" s="76"/>
      <c r="J65" s="79">
        <v>0</v>
      </c>
      <c r="K65" s="80" t="str">
        <f t="shared" si="19"/>
        <v/>
      </c>
      <c r="L65" s="80" t="str">
        <f t="shared" si="20"/>
        <v/>
      </c>
    </row>
    <row r="66" spans="2:12" x14ac:dyDescent="0.25">
      <c r="B66" s="73"/>
      <c r="C66" s="90"/>
      <c r="D66" s="91">
        <v>322</v>
      </c>
      <c r="E66" s="91"/>
      <c r="F66" s="91" t="s">
        <v>100</v>
      </c>
      <c r="G66" s="74">
        <f>SUM(G67:G72)</f>
        <v>133940.43</v>
      </c>
      <c r="H66" s="74">
        <f t="shared" ref="H66:J66" si="28">SUM(H67:H72)</f>
        <v>157947.82</v>
      </c>
      <c r="I66" s="74">
        <f t="shared" si="28"/>
        <v>157947.82</v>
      </c>
      <c r="J66" s="74">
        <f t="shared" si="28"/>
        <v>122153.29999999999</v>
      </c>
      <c r="K66" s="75">
        <f t="shared" si="19"/>
        <v>91.199722145135709</v>
      </c>
      <c r="L66" s="80">
        <f t="shared" si="20"/>
        <v>77.337756228607631</v>
      </c>
    </row>
    <row r="67" spans="2:12" x14ac:dyDescent="0.25">
      <c r="B67" s="6"/>
      <c r="C67" s="18"/>
      <c r="D67" s="7"/>
      <c r="E67" s="7">
        <v>3221</v>
      </c>
      <c r="F67" s="7" t="s">
        <v>101</v>
      </c>
      <c r="G67" s="79">
        <v>47201.89</v>
      </c>
      <c r="H67" s="76">
        <v>70000</v>
      </c>
      <c r="I67" s="76">
        <v>70000</v>
      </c>
      <c r="J67" s="79">
        <v>54871.65</v>
      </c>
      <c r="K67" s="80">
        <f t="shared" si="19"/>
        <v>116.24884088327821</v>
      </c>
      <c r="L67" s="80">
        <f t="shared" si="20"/>
        <v>78.388071428571422</v>
      </c>
    </row>
    <row r="68" spans="2:12" x14ac:dyDescent="0.25">
      <c r="B68" s="6"/>
      <c r="C68" s="18"/>
      <c r="D68" s="7"/>
      <c r="E68" s="7">
        <v>3222</v>
      </c>
      <c r="F68" s="7" t="s">
        <v>102</v>
      </c>
      <c r="G68" s="79">
        <v>831.84</v>
      </c>
      <c r="H68" s="76">
        <v>500</v>
      </c>
      <c r="I68" s="76">
        <v>500</v>
      </c>
      <c r="J68" s="79">
        <v>507.06</v>
      </c>
      <c r="K68" s="80">
        <f t="shared" si="19"/>
        <v>60.95643392960185</v>
      </c>
      <c r="L68" s="80">
        <f t="shared" si="20"/>
        <v>101.41199999999999</v>
      </c>
    </row>
    <row r="69" spans="2:12" x14ac:dyDescent="0.25">
      <c r="B69" s="6"/>
      <c r="C69" s="18"/>
      <c r="D69" s="7"/>
      <c r="E69" s="7">
        <v>3223</v>
      </c>
      <c r="F69" s="7" t="s">
        <v>103</v>
      </c>
      <c r="G69" s="79">
        <v>66326.34</v>
      </c>
      <c r="H69" s="76">
        <v>53985.86</v>
      </c>
      <c r="I69" s="76">
        <v>53985.86</v>
      </c>
      <c r="J69" s="79">
        <v>56774.21</v>
      </c>
      <c r="K69" s="80">
        <f t="shared" si="19"/>
        <v>85.598285688611796</v>
      </c>
      <c r="L69" s="80">
        <f t="shared" si="20"/>
        <v>105.16496356638572</v>
      </c>
    </row>
    <row r="70" spans="2:12" x14ac:dyDescent="0.25">
      <c r="B70" s="6"/>
      <c r="C70" s="18"/>
      <c r="D70" s="7"/>
      <c r="E70" s="7">
        <v>3225</v>
      </c>
      <c r="F70" s="7" t="s">
        <v>104</v>
      </c>
      <c r="G70" s="79">
        <v>1857.38</v>
      </c>
      <c r="H70" s="76">
        <v>6000</v>
      </c>
      <c r="I70" s="76">
        <v>6000</v>
      </c>
      <c r="J70" s="79">
        <v>6408.5</v>
      </c>
      <c r="K70" s="80">
        <f t="shared" si="19"/>
        <v>345.02901937137256</v>
      </c>
      <c r="L70" s="80">
        <f t="shared" si="20"/>
        <v>106.80833333333332</v>
      </c>
    </row>
    <row r="71" spans="2:12" x14ac:dyDescent="0.25">
      <c r="B71" s="6"/>
      <c r="C71" s="18"/>
      <c r="D71" s="7"/>
      <c r="E71" s="7">
        <v>3224</v>
      </c>
      <c r="F71" s="7" t="s">
        <v>105</v>
      </c>
      <c r="G71" s="79">
        <v>17641.98</v>
      </c>
      <c r="H71" s="76">
        <f>25729.27-267.31</f>
        <v>25461.96</v>
      </c>
      <c r="I71" s="76">
        <f>25729.27-267.31</f>
        <v>25461.96</v>
      </c>
      <c r="J71" s="79">
        <v>2454.9299999999998</v>
      </c>
      <c r="K71" s="80">
        <f t="shared" si="19"/>
        <v>13.915274816092072</v>
      </c>
      <c r="L71" s="80">
        <f t="shared" si="20"/>
        <v>9.6415594086236869</v>
      </c>
    </row>
    <row r="72" spans="2:12" x14ac:dyDescent="0.25">
      <c r="B72" s="6"/>
      <c r="C72" s="18"/>
      <c r="D72" s="7"/>
      <c r="E72" s="7">
        <v>3227</v>
      </c>
      <c r="F72" s="7" t="s">
        <v>106</v>
      </c>
      <c r="G72" s="79">
        <v>81</v>
      </c>
      <c r="H72" s="76">
        <v>2000</v>
      </c>
      <c r="I72" s="76">
        <v>2000</v>
      </c>
      <c r="J72" s="79">
        <v>1136.95</v>
      </c>
      <c r="K72" s="80">
        <f t="shared" si="19"/>
        <v>1403.641975308642</v>
      </c>
      <c r="L72" s="80">
        <f t="shared" si="20"/>
        <v>56.847500000000004</v>
      </c>
    </row>
    <row r="73" spans="2:12" x14ac:dyDescent="0.25">
      <c r="B73" s="73"/>
      <c r="C73" s="90"/>
      <c r="D73" s="91">
        <v>323</v>
      </c>
      <c r="E73" s="91"/>
      <c r="F73" s="91" t="s">
        <v>107</v>
      </c>
      <c r="G73" s="74">
        <f>SUM(G74:G82)</f>
        <v>1293515.06</v>
      </c>
      <c r="H73" s="74">
        <f t="shared" ref="H73:J73" si="29">SUM(H74:H82)</f>
        <v>368664.35000000003</v>
      </c>
      <c r="I73" s="74">
        <f t="shared" si="29"/>
        <v>368664.35000000003</v>
      </c>
      <c r="J73" s="74">
        <f t="shared" si="29"/>
        <v>362970.13999999996</v>
      </c>
      <c r="K73" s="75">
        <f t="shared" si="19"/>
        <v>28.060758720505348</v>
      </c>
      <c r="L73" s="75">
        <f t="shared" si="20"/>
        <v>98.455448702864786</v>
      </c>
    </row>
    <row r="74" spans="2:12" x14ac:dyDescent="0.25">
      <c r="B74" s="6"/>
      <c r="C74" s="18"/>
      <c r="D74" s="7"/>
      <c r="E74" s="7">
        <v>3231</v>
      </c>
      <c r="F74" s="7" t="s">
        <v>108</v>
      </c>
      <c r="G74" s="79">
        <v>5617.48</v>
      </c>
      <c r="H74" s="76">
        <v>4114.41</v>
      </c>
      <c r="I74" s="76">
        <v>4114.41</v>
      </c>
      <c r="J74" s="79">
        <v>4654.13</v>
      </c>
      <c r="K74" s="80">
        <f t="shared" si="19"/>
        <v>82.850851271388606</v>
      </c>
      <c r="L74" s="80">
        <f t="shared" si="20"/>
        <v>113.11779817762451</v>
      </c>
    </row>
    <row r="75" spans="2:12" x14ac:dyDescent="0.25">
      <c r="B75" s="6"/>
      <c r="C75" s="18"/>
      <c r="D75" s="7"/>
      <c r="E75" s="7">
        <v>3232</v>
      </c>
      <c r="F75" s="7" t="s">
        <v>159</v>
      </c>
      <c r="G75" s="79">
        <v>9740.14</v>
      </c>
      <c r="H75" s="76">
        <v>23855.35</v>
      </c>
      <c r="I75" s="76">
        <v>23855.35</v>
      </c>
      <c r="J75" s="79">
        <v>7235.29</v>
      </c>
      <c r="K75" s="80">
        <f t="shared" si="19"/>
        <v>74.283223855098598</v>
      </c>
      <c r="L75" s="80">
        <f t="shared" si="20"/>
        <v>30.329842152808489</v>
      </c>
    </row>
    <row r="76" spans="2:12" x14ac:dyDescent="0.25">
      <c r="B76" s="6"/>
      <c r="C76" s="18"/>
      <c r="D76" s="7"/>
      <c r="E76" s="7">
        <v>3233</v>
      </c>
      <c r="F76" s="7" t="s">
        <v>109</v>
      </c>
      <c r="G76" s="79">
        <v>61754.74</v>
      </c>
      <c r="H76" s="76">
        <v>1500</v>
      </c>
      <c r="I76" s="76">
        <v>1500</v>
      </c>
      <c r="J76" s="79">
        <v>1143.95</v>
      </c>
      <c r="K76" s="80">
        <f t="shared" si="19"/>
        <v>1.8524084143176702</v>
      </c>
      <c r="L76" s="80">
        <f t="shared" si="20"/>
        <v>76.263333333333335</v>
      </c>
    </row>
    <row r="77" spans="2:12" x14ac:dyDescent="0.25">
      <c r="B77" s="6"/>
      <c r="C77" s="18"/>
      <c r="D77" s="7"/>
      <c r="E77" s="7">
        <v>3234</v>
      </c>
      <c r="F77" s="7" t="s">
        <v>110</v>
      </c>
      <c r="G77" s="79">
        <v>14842.72</v>
      </c>
      <c r="H77" s="76">
        <f>15067.4+105000</f>
        <v>120067.4</v>
      </c>
      <c r="I77" s="76">
        <f>15067.4+105000</f>
        <v>120067.4</v>
      </c>
      <c r="J77" s="79">
        <v>121982.65</v>
      </c>
      <c r="K77" s="80">
        <f t="shared" si="19"/>
        <v>821.83487932131027</v>
      </c>
      <c r="L77" s="80">
        <f t="shared" si="20"/>
        <v>101.59514572648362</v>
      </c>
    </row>
    <row r="78" spans="2:12" x14ac:dyDescent="0.25">
      <c r="B78" s="6"/>
      <c r="C78" s="18"/>
      <c r="D78" s="7"/>
      <c r="E78" s="7">
        <v>3235</v>
      </c>
      <c r="F78" s="7" t="s">
        <v>111</v>
      </c>
      <c r="G78" s="79">
        <v>53752.79</v>
      </c>
      <c r="H78" s="76">
        <f>53752.8+700*12+976.75*12</f>
        <v>73873.8</v>
      </c>
      <c r="I78" s="76">
        <f>53752.8+700*12+976.75*12</f>
        <v>73873.8</v>
      </c>
      <c r="J78" s="79">
        <v>76706.61</v>
      </c>
      <c r="K78" s="80">
        <f t="shared" si="19"/>
        <v>142.70256483430904</v>
      </c>
      <c r="L78" s="80">
        <f t="shared" si="20"/>
        <v>103.83466127368565</v>
      </c>
    </row>
    <row r="79" spans="2:12" x14ac:dyDescent="0.25">
      <c r="B79" s="6"/>
      <c r="C79" s="18"/>
      <c r="D79" s="7"/>
      <c r="E79" s="7">
        <v>3236</v>
      </c>
      <c r="F79" s="7" t="s">
        <v>112</v>
      </c>
      <c r="G79" s="79">
        <v>7007.88</v>
      </c>
      <c r="H79" s="76">
        <v>6530.07</v>
      </c>
      <c r="I79" s="76">
        <v>6530.07</v>
      </c>
      <c r="J79" s="79">
        <v>6520</v>
      </c>
      <c r="K79" s="80">
        <f t="shared" si="19"/>
        <v>93.038122798906372</v>
      </c>
      <c r="L79" s="80">
        <f t="shared" si="20"/>
        <v>99.845790320777567</v>
      </c>
    </row>
    <row r="80" spans="2:12" x14ac:dyDescent="0.25">
      <c r="B80" s="6"/>
      <c r="C80" s="18"/>
      <c r="D80" s="7"/>
      <c r="E80" s="7">
        <v>3237</v>
      </c>
      <c r="F80" s="7" t="s">
        <v>113</v>
      </c>
      <c r="G80" s="79">
        <v>992980.99</v>
      </c>
      <c r="H80" s="76">
        <f>80000+2822.22*6</f>
        <v>96933.32</v>
      </c>
      <c r="I80" s="76">
        <f>80000+2822.22*6</f>
        <v>96933.32</v>
      </c>
      <c r="J80" s="79">
        <v>109745.86</v>
      </c>
      <c r="K80" s="80">
        <f t="shared" si="19"/>
        <v>11.052161230196361</v>
      </c>
      <c r="L80" s="80">
        <f t="shared" si="20"/>
        <v>113.21789040136044</v>
      </c>
    </row>
    <row r="81" spans="2:12" x14ac:dyDescent="0.25">
      <c r="B81" s="6"/>
      <c r="C81" s="18"/>
      <c r="D81" s="7"/>
      <c r="E81" s="7">
        <v>3238</v>
      </c>
      <c r="F81" s="7" t="s">
        <v>114</v>
      </c>
      <c r="G81" s="79">
        <v>13549.11</v>
      </c>
      <c r="H81" s="76">
        <v>1790</v>
      </c>
      <c r="I81" s="76">
        <v>1790</v>
      </c>
      <c r="J81" s="79">
        <v>2630.54</v>
      </c>
      <c r="K81" s="80">
        <f t="shared" si="19"/>
        <v>19.41485455502243</v>
      </c>
      <c r="L81" s="80">
        <f t="shared" si="20"/>
        <v>146.95754189944134</v>
      </c>
    </row>
    <row r="82" spans="2:12" x14ac:dyDescent="0.25">
      <c r="B82" s="6"/>
      <c r="C82" s="18"/>
      <c r="D82" s="7"/>
      <c r="E82" s="7">
        <v>3239</v>
      </c>
      <c r="F82" s="7" t="s">
        <v>115</v>
      </c>
      <c r="G82" s="79">
        <v>134269.21</v>
      </c>
      <c r="H82" s="76">
        <v>40000</v>
      </c>
      <c r="I82" s="76">
        <v>40000</v>
      </c>
      <c r="J82" s="79">
        <v>32351.11</v>
      </c>
      <c r="K82" s="80">
        <f t="shared" si="19"/>
        <v>24.094213409016113</v>
      </c>
      <c r="L82" s="80">
        <f t="shared" si="20"/>
        <v>80.877775</v>
      </c>
    </row>
    <row r="83" spans="2:12" x14ac:dyDescent="0.25">
      <c r="B83" s="93"/>
      <c r="C83" s="94"/>
      <c r="D83" s="95">
        <v>324</v>
      </c>
      <c r="E83" s="95"/>
      <c r="F83" s="95" t="s">
        <v>116</v>
      </c>
      <c r="G83" s="113"/>
      <c r="H83" s="97"/>
      <c r="I83" s="97"/>
      <c r="J83" s="113"/>
      <c r="K83" s="99"/>
      <c r="L83" s="99"/>
    </row>
    <row r="84" spans="2:12" x14ac:dyDescent="0.25">
      <c r="B84" s="6"/>
      <c r="C84" s="18"/>
      <c r="D84" s="7"/>
      <c r="E84" s="7">
        <v>3241</v>
      </c>
      <c r="F84" s="7" t="s">
        <v>116</v>
      </c>
      <c r="G84" s="114"/>
      <c r="H84" s="76"/>
      <c r="I84" s="76"/>
      <c r="J84" s="114"/>
      <c r="K84" s="80"/>
      <c r="L84" s="80"/>
    </row>
    <row r="85" spans="2:12" x14ac:dyDescent="0.25">
      <c r="B85" s="73"/>
      <c r="C85" s="90"/>
      <c r="D85" s="91">
        <v>329</v>
      </c>
      <c r="E85" s="91"/>
      <c r="F85" s="91" t="s">
        <v>117</v>
      </c>
      <c r="G85" s="74">
        <f>SUM(G86:G92)</f>
        <v>106835.79999999999</v>
      </c>
      <c r="H85" s="74">
        <f t="shared" ref="H85:J85" si="30">SUM(H86:H92)</f>
        <v>237693.09999999998</v>
      </c>
      <c r="I85" s="74">
        <f t="shared" si="30"/>
        <v>237693.09999999998</v>
      </c>
      <c r="J85" s="74">
        <f t="shared" si="30"/>
        <v>73619.66</v>
      </c>
      <c r="K85" s="75">
        <f t="shared" ref="K85:K94" si="31">IFERROR(J85/G85*100,"")</f>
        <v>68.909167151834879</v>
      </c>
      <c r="L85" s="75">
        <f t="shared" ref="L85:L94" si="32">IFERROR(J85/I85*100,"")</f>
        <v>30.97256925001189</v>
      </c>
    </row>
    <row r="86" spans="2:12" x14ac:dyDescent="0.25">
      <c r="B86" s="6"/>
      <c r="C86" s="18"/>
      <c r="D86" s="7"/>
      <c r="E86" s="7">
        <v>3291</v>
      </c>
      <c r="F86" s="7" t="s">
        <v>118</v>
      </c>
      <c r="G86" s="79"/>
      <c r="H86" s="76"/>
      <c r="I86" s="76"/>
      <c r="J86" s="79"/>
      <c r="K86" s="80" t="str">
        <f t="shared" si="31"/>
        <v/>
      </c>
      <c r="L86" s="80" t="str">
        <f t="shared" si="32"/>
        <v/>
      </c>
    </row>
    <row r="87" spans="2:12" x14ac:dyDescent="0.25">
      <c r="B87" s="6"/>
      <c r="C87" s="18"/>
      <c r="D87" s="7"/>
      <c r="E87" s="7">
        <v>3292</v>
      </c>
      <c r="F87" s="7" t="s">
        <v>119</v>
      </c>
      <c r="G87" s="79">
        <v>1394.64</v>
      </c>
      <c r="H87" s="76">
        <v>1500</v>
      </c>
      <c r="I87" s="76">
        <v>1500</v>
      </c>
      <c r="J87" s="79">
        <v>1419.17</v>
      </c>
      <c r="K87" s="80">
        <f t="shared" si="31"/>
        <v>101.75887684276945</v>
      </c>
      <c r="L87" s="80">
        <f t="shared" si="32"/>
        <v>94.611333333333334</v>
      </c>
    </row>
    <row r="88" spans="2:12" x14ac:dyDescent="0.25">
      <c r="B88" s="6"/>
      <c r="C88" s="18"/>
      <c r="D88" s="7"/>
      <c r="E88" s="7">
        <v>3293</v>
      </c>
      <c r="F88" s="7" t="s">
        <v>120</v>
      </c>
      <c r="G88" s="79">
        <v>11338.99</v>
      </c>
      <c r="H88" s="76">
        <v>30000</v>
      </c>
      <c r="I88" s="76">
        <v>30000</v>
      </c>
      <c r="J88" s="79">
        <v>10493.73</v>
      </c>
      <c r="K88" s="80">
        <f t="shared" si="31"/>
        <v>92.545544179860812</v>
      </c>
      <c r="L88" s="80">
        <f t="shared" si="32"/>
        <v>34.979099999999995</v>
      </c>
    </row>
    <row r="89" spans="2:12" x14ac:dyDescent="0.25">
      <c r="B89" s="6"/>
      <c r="C89" s="18"/>
      <c r="D89" s="7"/>
      <c r="E89" s="7">
        <v>3294</v>
      </c>
      <c r="F89" s="7" t="s">
        <v>121</v>
      </c>
      <c r="G89" s="79">
        <v>213.27</v>
      </c>
      <c r="H89" s="76">
        <v>213.27</v>
      </c>
      <c r="I89" s="76">
        <v>213.27</v>
      </c>
      <c r="J89" s="79">
        <v>225</v>
      </c>
      <c r="K89" s="80">
        <f t="shared" si="31"/>
        <v>105.50007033338022</v>
      </c>
      <c r="L89" s="80">
        <f t="shared" si="32"/>
        <v>105.50007033338022</v>
      </c>
    </row>
    <row r="90" spans="2:12" x14ac:dyDescent="0.25">
      <c r="B90" s="6"/>
      <c r="C90" s="18"/>
      <c r="D90" s="7"/>
      <c r="E90" s="7">
        <v>3295</v>
      </c>
      <c r="F90" s="7" t="s">
        <v>122</v>
      </c>
      <c r="G90" s="79">
        <v>5556.26</v>
      </c>
      <c r="H90" s="76">
        <v>7500</v>
      </c>
      <c r="I90" s="76">
        <v>7500</v>
      </c>
      <c r="J90" s="79">
        <v>7357.18</v>
      </c>
      <c r="K90" s="80">
        <f t="shared" si="31"/>
        <v>132.41245010132715</v>
      </c>
      <c r="L90" s="80">
        <f t="shared" si="32"/>
        <v>98.095733333333328</v>
      </c>
    </row>
    <row r="91" spans="2:12" x14ac:dyDescent="0.25">
      <c r="B91" s="6"/>
      <c r="C91" s="18"/>
      <c r="D91" s="7"/>
      <c r="E91" s="7">
        <v>3296</v>
      </c>
      <c r="F91" s="7" t="s">
        <v>123</v>
      </c>
      <c r="G91" s="79">
        <f>3124.79+269.56</f>
        <v>3394.35</v>
      </c>
      <c r="H91" s="76">
        <v>300</v>
      </c>
      <c r="I91" s="76">
        <v>300</v>
      </c>
      <c r="J91" s="79">
        <v>248.86</v>
      </c>
      <c r="K91" s="80">
        <f t="shared" si="31"/>
        <v>7.3315951507652422</v>
      </c>
      <c r="L91" s="80">
        <f t="shared" si="32"/>
        <v>82.953333333333333</v>
      </c>
    </row>
    <row r="92" spans="2:12" x14ac:dyDescent="0.25">
      <c r="B92" s="6"/>
      <c r="C92" s="18"/>
      <c r="D92" s="7"/>
      <c r="E92" s="7">
        <v>3299</v>
      </c>
      <c r="F92" s="7" t="s">
        <v>117</v>
      </c>
      <c r="G92" s="114">
        <v>84938.29</v>
      </c>
      <c r="H92" s="76">
        <f>178179.83+20000</f>
        <v>198179.83</v>
      </c>
      <c r="I92" s="76">
        <f>178179.83+20000</f>
        <v>198179.83</v>
      </c>
      <c r="J92" s="114">
        <v>53875.72</v>
      </c>
      <c r="K92" s="80">
        <f t="shared" si="31"/>
        <v>63.429249635235188</v>
      </c>
      <c r="L92" s="80">
        <f t="shared" si="32"/>
        <v>27.185269055887275</v>
      </c>
    </row>
    <row r="93" spans="2:12" x14ac:dyDescent="0.25">
      <c r="B93" s="87"/>
      <c r="C93" s="100">
        <v>34</v>
      </c>
      <c r="D93" s="89"/>
      <c r="E93" s="89"/>
      <c r="F93" s="89" t="s">
        <v>124</v>
      </c>
      <c r="G93" s="67">
        <f>G94</f>
        <v>3161.6</v>
      </c>
      <c r="H93" s="67">
        <f t="shared" ref="H93:J93" si="33">H94</f>
        <v>1659.95</v>
      </c>
      <c r="I93" s="67">
        <f t="shared" si="33"/>
        <v>1659.95</v>
      </c>
      <c r="J93" s="67">
        <f t="shared" si="33"/>
        <v>19688.97</v>
      </c>
      <c r="K93" s="68">
        <f t="shared" si="31"/>
        <v>622.75335273279359</v>
      </c>
      <c r="L93" s="68">
        <f t="shared" si="32"/>
        <v>1186.1182565739932</v>
      </c>
    </row>
    <row r="94" spans="2:12" x14ac:dyDescent="0.25">
      <c r="B94" s="73"/>
      <c r="C94" s="90"/>
      <c r="D94" s="91">
        <v>343</v>
      </c>
      <c r="E94" s="91"/>
      <c r="F94" s="91" t="s">
        <v>125</v>
      </c>
      <c r="G94" s="74">
        <f>SUM(G95:G99)</f>
        <v>3161.6</v>
      </c>
      <c r="H94" s="74">
        <f t="shared" ref="H94:J94" si="34">SUM(H95:H99)</f>
        <v>1659.95</v>
      </c>
      <c r="I94" s="74">
        <f t="shared" si="34"/>
        <v>1659.95</v>
      </c>
      <c r="J94" s="74">
        <f t="shared" si="34"/>
        <v>19688.97</v>
      </c>
      <c r="K94" s="75">
        <f t="shared" si="31"/>
        <v>622.75335273279359</v>
      </c>
      <c r="L94" s="75">
        <f t="shared" si="32"/>
        <v>1186.1182565739932</v>
      </c>
    </row>
    <row r="95" spans="2:12" ht="38.25" x14ac:dyDescent="0.25">
      <c r="B95" s="6"/>
      <c r="C95" s="18"/>
      <c r="D95" s="7"/>
      <c r="E95" s="7">
        <v>3423</v>
      </c>
      <c r="F95" s="11" t="s">
        <v>126</v>
      </c>
      <c r="G95" s="77">
        <v>218.28</v>
      </c>
      <c r="H95" s="76"/>
      <c r="I95" s="76"/>
      <c r="J95" s="77">
        <v>18178.66</v>
      </c>
      <c r="K95" s="78"/>
      <c r="L95" s="78"/>
    </row>
    <row r="96" spans="2:12" x14ac:dyDescent="0.25">
      <c r="B96" s="6"/>
      <c r="C96" s="18"/>
      <c r="D96" s="7"/>
      <c r="E96" s="7">
        <v>3431</v>
      </c>
      <c r="F96" s="7" t="s">
        <v>127</v>
      </c>
      <c r="G96" s="79">
        <v>1407.95</v>
      </c>
      <c r="H96" s="76">
        <v>1459.95</v>
      </c>
      <c r="I96" s="76">
        <v>1459.95</v>
      </c>
      <c r="J96" s="79">
        <v>1356.9</v>
      </c>
      <c r="K96" s="80">
        <f>IFERROR(J96/G96*100,"")</f>
        <v>96.37416101424057</v>
      </c>
      <c r="L96" s="80">
        <f t="shared" ref="L96:L135" si="35">IFERROR(J96/I96*100,"")</f>
        <v>92.941539093804579</v>
      </c>
    </row>
    <row r="97" spans="2:12" x14ac:dyDescent="0.25">
      <c r="B97" s="6"/>
      <c r="C97" s="18"/>
      <c r="D97" s="7"/>
      <c r="E97" s="7">
        <v>3432</v>
      </c>
      <c r="F97" s="7" t="s">
        <v>128</v>
      </c>
      <c r="G97" s="79">
        <v>0</v>
      </c>
      <c r="H97" s="76"/>
      <c r="I97" s="76"/>
      <c r="J97" s="79"/>
      <c r="K97" s="80" t="str">
        <f>IFERROR(J97/G97*100,"")</f>
        <v/>
      </c>
      <c r="L97" s="80" t="str">
        <f t="shared" si="35"/>
        <v/>
      </c>
    </row>
    <row r="98" spans="2:12" x14ac:dyDescent="0.25">
      <c r="B98" s="6"/>
      <c r="C98" s="18"/>
      <c r="D98" s="7"/>
      <c r="E98" s="7">
        <v>3433</v>
      </c>
      <c r="F98" s="7" t="s">
        <v>129</v>
      </c>
      <c r="G98" s="79">
        <v>1535.37</v>
      </c>
      <c r="H98" s="76">
        <v>200</v>
      </c>
      <c r="I98" s="76">
        <v>200</v>
      </c>
      <c r="J98" s="79">
        <v>153.41</v>
      </c>
      <c r="K98" s="80">
        <f>IFERROR(J98/G98*100,"")</f>
        <v>9.9917283781759441</v>
      </c>
      <c r="L98" s="80">
        <f t="shared" si="35"/>
        <v>76.704999999999998</v>
      </c>
    </row>
    <row r="99" spans="2:12" x14ac:dyDescent="0.25">
      <c r="B99" s="6"/>
      <c r="C99" s="18"/>
      <c r="D99" s="7"/>
      <c r="E99" s="7">
        <v>3434</v>
      </c>
      <c r="F99" s="7" t="s">
        <v>130</v>
      </c>
      <c r="G99" s="79">
        <v>0</v>
      </c>
      <c r="H99" s="76"/>
      <c r="I99" s="76"/>
      <c r="J99" s="79"/>
      <c r="K99" s="80" t="str">
        <f>IFERROR(J99/G99*100,"")</f>
        <v/>
      </c>
      <c r="L99" s="80" t="str">
        <f t="shared" si="35"/>
        <v/>
      </c>
    </row>
    <row r="100" spans="2:12" x14ac:dyDescent="0.25">
      <c r="B100" s="85"/>
      <c r="C100" s="115">
        <v>35</v>
      </c>
      <c r="D100" s="116"/>
      <c r="E100" s="116"/>
      <c r="F100" s="116" t="s">
        <v>131</v>
      </c>
      <c r="G100" s="117">
        <f>SUM(G101:G102)</f>
        <v>37306.04</v>
      </c>
      <c r="H100" s="117">
        <f t="shared" ref="H100:J100" si="36">SUM(H101:H102)</f>
        <v>6704.02</v>
      </c>
      <c r="I100" s="117">
        <f t="shared" si="36"/>
        <v>6704.02</v>
      </c>
      <c r="J100" s="117">
        <f t="shared" si="36"/>
        <v>7887.08</v>
      </c>
      <c r="K100" s="118"/>
      <c r="L100" s="200">
        <f t="shared" si="35"/>
        <v>117.64702372606286</v>
      </c>
    </row>
    <row r="101" spans="2:12" ht="25.5" x14ac:dyDescent="0.25">
      <c r="B101" s="6"/>
      <c r="C101" s="18"/>
      <c r="D101" s="7"/>
      <c r="E101" s="7">
        <v>3522</v>
      </c>
      <c r="F101" s="11" t="s">
        <v>132</v>
      </c>
      <c r="G101" s="79">
        <v>5595.91</v>
      </c>
      <c r="H101" s="76"/>
      <c r="I101" s="76"/>
      <c r="J101" s="79">
        <v>1183.06</v>
      </c>
      <c r="K101" s="80">
        <f>J101/G101*100</f>
        <v>21.141512283078175</v>
      </c>
      <c r="L101" s="80" t="str">
        <f t="shared" si="35"/>
        <v/>
      </c>
    </row>
    <row r="102" spans="2:12" ht="25.5" x14ac:dyDescent="0.25">
      <c r="B102" s="6"/>
      <c r="C102" s="18"/>
      <c r="D102" s="7"/>
      <c r="E102" s="7">
        <v>3531</v>
      </c>
      <c r="F102" s="11" t="s">
        <v>133</v>
      </c>
      <c r="G102" s="79">
        <v>31710.13</v>
      </c>
      <c r="H102" s="76">
        <v>6704.02</v>
      </c>
      <c r="I102" s="76">
        <v>6704.02</v>
      </c>
      <c r="J102" s="79">
        <v>6704.02</v>
      </c>
      <c r="K102" s="80">
        <f>J102/G102*100</f>
        <v>21.141572109606617</v>
      </c>
      <c r="L102" s="80">
        <f t="shared" si="35"/>
        <v>100</v>
      </c>
    </row>
    <row r="103" spans="2:12" x14ac:dyDescent="0.25">
      <c r="B103" s="85"/>
      <c r="C103" s="115">
        <v>36</v>
      </c>
      <c r="D103" s="116"/>
      <c r="E103" s="116"/>
      <c r="F103" s="116" t="s">
        <v>134</v>
      </c>
      <c r="G103" s="117">
        <f>SUM(G104:G107)</f>
        <v>310950.03000000003</v>
      </c>
      <c r="H103" s="117">
        <f t="shared" ref="H103:J103" si="37">SUM(H104:H107)</f>
        <v>110820.75</v>
      </c>
      <c r="I103" s="117">
        <f t="shared" si="37"/>
        <v>110820.75</v>
      </c>
      <c r="J103" s="117">
        <f t="shared" si="37"/>
        <v>116258.83000000002</v>
      </c>
      <c r="K103" s="118"/>
      <c r="L103" s="200">
        <f t="shared" si="35"/>
        <v>104.90709546722977</v>
      </c>
    </row>
    <row r="104" spans="2:12" ht="25.5" x14ac:dyDescent="0.25">
      <c r="B104" s="6"/>
      <c r="C104" s="18"/>
      <c r="D104" s="7"/>
      <c r="E104" s="7">
        <v>3661</v>
      </c>
      <c r="F104" s="11" t="s">
        <v>135</v>
      </c>
      <c r="G104" s="79">
        <v>11139.84</v>
      </c>
      <c r="H104" s="76">
        <v>7920.61</v>
      </c>
      <c r="I104" s="76">
        <v>7920.61</v>
      </c>
      <c r="J104" s="79">
        <v>7897.25</v>
      </c>
      <c r="K104" s="80">
        <f>J104/G104*100</f>
        <v>70.891951769504772</v>
      </c>
      <c r="L104" s="80">
        <f t="shared" si="35"/>
        <v>99.70507322037065</v>
      </c>
    </row>
    <row r="105" spans="2:12" x14ac:dyDescent="0.25">
      <c r="B105" s="6"/>
      <c r="C105" s="18"/>
      <c r="D105" s="7"/>
      <c r="E105" s="7">
        <v>3681</v>
      </c>
      <c r="F105" s="7" t="s">
        <v>75</v>
      </c>
      <c r="G105" s="79">
        <v>63125.72</v>
      </c>
      <c r="H105" s="76">
        <v>58016.72</v>
      </c>
      <c r="I105" s="76">
        <v>58016.72</v>
      </c>
      <c r="J105" s="79">
        <v>71951.990000000005</v>
      </c>
      <c r="K105" s="80">
        <f t="shared" ref="K105:K107" si="38">J105/G105*100</f>
        <v>113.9820504225536</v>
      </c>
      <c r="L105" s="80">
        <f t="shared" si="35"/>
        <v>124.01940337199346</v>
      </c>
    </row>
    <row r="106" spans="2:12" ht="25.5" x14ac:dyDescent="0.25">
      <c r="B106" s="6"/>
      <c r="C106" s="18"/>
      <c r="D106" s="7"/>
      <c r="E106" s="7">
        <v>3691</v>
      </c>
      <c r="F106" s="11" t="s">
        <v>77</v>
      </c>
      <c r="G106" s="79">
        <v>35502.65</v>
      </c>
      <c r="H106" s="76"/>
      <c r="I106" s="76"/>
      <c r="J106" s="79">
        <v>5461.44</v>
      </c>
      <c r="K106" s="80">
        <f t="shared" si="38"/>
        <v>15.383189705557191</v>
      </c>
      <c r="L106" s="80" t="str">
        <f t="shared" si="35"/>
        <v/>
      </c>
    </row>
    <row r="107" spans="2:12" ht="25.5" x14ac:dyDescent="0.25">
      <c r="B107" s="6"/>
      <c r="C107" s="18"/>
      <c r="D107" s="7"/>
      <c r="E107" s="7">
        <v>3693</v>
      </c>
      <c r="F107" s="11" t="s">
        <v>78</v>
      </c>
      <c r="G107" s="79">
        <v>201181.82</v>
      </c>
      <c r="H107" s="76">
        <v>44883.42</v>
      </c>
      <c r="I107" s="76">
        <v>44883.42</v>
      </c>
      <c r="J107" s="79">
        <v>30948.15</v>
      </c>
      <c r="K107" s="80">
        <f t="shared" si="38"/>
        <v>15.38317428483349</v>
      </c>
      <c r="L107" s="80">
        <f t="shared" si="35"/>
        <v>68.952299089507889</v>
      </c>
    </row>
    <row r="108" spans="2:12" x14ac:dyDescent="0.25">
      <c r="B108" s="87"/>
      <c r="C108" s="100">
        <v>37</v>
      </c>
      <c r="D108" s="89"/>
      <c r="E108" s="89"/>
      <c r="F108" s="89" t="s">
        <v>136</v>
      </c>
      <c r="G108" s="67">
        <f>G109</f>
        <v>270</v>
      </c>
      <c r="H108" s="67">
        <f t="shared" ref="H108:J108" si="39">H109</f>
        <v>0</v>
      </c>
      <c r="I108" s="67">
        <f t="shared" si="39"/>
        <v>0</v>
      </c>
      <c r="J108" s="67">
        <f t="shared" si="39"/>
        <v>0</v>
      </c>
      <c r="K108" s="119">
        <f t="shared" ref="K108:K113" si="40">IFERROR(J108/G108*100,"")</f>
        <v>0</v>
      </c>
      <c r="L108" s="200" t="str">
        <f t="shared" si="35"/>
        <v/>
      </c>
    </row>
    <row r="109" spans="2:12" x14ac:dyDescent="0.25">
      <c r="B109" s="73"/>
      <c r="C109" s="90"/>
      <c r="D109" s="91">
        <v>372</v>
      </c>
      <c r="E109" s="91"/>
      <c r="F109" s="91" t="s">
        <v>137</v>
      </c>
      <c r="G109" s="74">
        <f>G110+G111</f>
        <v>270</v>
      </c>
      <c r="H109" s="74">
        <f t="shared" ref="H109:J109" si="41">H110+H111</f>
        <v>0</v>
      </c>
      <c r="I109" s="74">
        <f t="shared" si="41"/>
        <v>0</v>
      </c>
      <c r="J109" s="74">
        <f t="shared" si="41"/>
        <v>0</v>
      </c>
      <c r="K109" s="75">
        <f t="shared" si="40"/>
        <v>0</v>
      </c>
      <c r="L109" s="80" t="str">
        <f t="shared" si="35"/>
        <v/>
      </c>
    </row>
    <row r="110" spans="2:12" x14ac:dyDescent="0.25">
      <c r="B110" s="6"/>
      <c r="C110" s="18"/>
      <c r="D110" s="7"/>
      <c r="E110" s="7">
        <v>3721</v>
      </c>
      <c r="F110" s="7" t="s">
        <v>138</v>
      </c>
      <c r="G110" s="79">
        <v>270</v>
      </c>
      <c r="H110" s="76"/>
      <c r="I110" s="76"/>
      <c r="J110" s="79"/>
      <c r="K110" s="80">
        <f t="shared" si="40"/>
        <v>0</v>
      </c>
      <c r="L110" s="80" t="str">
        <f t="shared" si="35"/>
        <v/>
      </c>
    </row>
    <row r="111" spans="2:12" x14ac:dyDescent="0.25">
      <c r="B111" s="6"/>
      <c r="C111" s="18"/>
      <c r="D111" s="7"/>
      <c r="E111" s="7">
        <v>3722</v>
      </c>
      <c r="F111" s="7" t="s">
        <v>139</v>
      </c>
      <c r="G111" s="79"/>
      <c r="H111" s="76"/>
      <c r="I111" s="76"/>
      <c r="J111" s="79"/>
      <c r="K111" s="80" t="str">
        <f t="shared" si="40"/>
        <v/>
      </c>
      <c r="L111" s="80" t="str">
        <f t="shared" si="35"/>
        <v/>
      </c>
    </row>
    <row r="112" spans="2:12" x14ac:dyDescent="0.25">
      <c r="B112" s="87"/>
      <c r="C112" s="100">
        <v>38</v>
      </c>
      <c r="D112" s="89"/>
      <c r="E112" s="89"/>
      <c r="F112" s="89" t="s">
        <v>140</v>
      </c>
      <c r="G112" s="67">
        <f>G113</f>
        <v>88113.69</v>
      </c>
      <c r="H112" s="67">
        <f>SUM(H113)</f>
        <v>23267.22</v>
      </c>
      <c r="I112" s="67">
        <f t="shared" ref="I112:J112" si="42">I113</f>
        <v>23267.22</v>
      </c>
      <c r="J112" s="67">
        <f t="shared" si="42"/>
        <v>23267.22</v>
      </c>
      <c r="K112" s="119">
        <f t="shared" si="40"/>
        <v>26.405908094417562</v>
      </c>
      <c r="L112" s="200">
        <f t="shared" si="35"/>
        <v>100</v>
      </c>
    </row>
    <row r="113" spans="2:12" x14ac:dyDescent="0.25">
      <c r="B113" s="73"/>
      <c r="C113" s="90"/>
      <c r="D113" s="91">
        <v>381</v>
      </c>
      <c r="E113" s="91"/>
      <c r="F113" s="91" t="s">
        <v>85</v>
      </c>
      <c r="G113" s="74">
        <f>SUM(G114:G116)</f>
        <v>88113.69</v>
      </c>
      <c r="H113" s="74">
        <f t="shared" ref="H113:J113" si="43">SUM(H114:H116)</f>
        <v>23267.22</v>
      </c>
      <c r="I113" s="74">
        <f t="shared" si="43"/>
        <v>23267.22</v>
      </c>
      <c r="J113" s="74">
        <f t="shared" si="43"/>
        <v>23267.22</v>
      </c>
      <c r="K113" s="75">
        <f t="shared" si="40"/>
        <v>26.405908094417562</v>
      </c>
      <c r="L113" s="80">
        <f t="shared" si="35"/>
        <v>100</v>
      </c>
    </row>
    <row r="114" spans="2:12" x14ac:dyDescent="0.25">
      <c r="B114" s="73"/>
      <c r="C114" s="90"/>
      <c r="D114" s="91"/>
      <c r="E114" s="91">
        <v>3811</v>
      </c>
      <c r="F114" s="7" t="s">
        <v>141</v>
      </c>
      <c r="G114" s="79">
        <v>13213.04</v>
      </c>
      <c r="H114" s="124">
        <v>3481.98</v>
      </c>
      <c r="I114" s="124">
        <v>3481.98</v>
      </c>
      <c r="J114" s="79">
        <v>3481.98</v>
      </c>
      <c r="K114" s="80">
        <f>IFERROR(J114/G114*100,"")</f>
        <v>26.352603185943579</v>
      </c>
      <c r="L114" s="80">
        <f t="shared" si="35"/>
        <v>100</v>
      </c>
    </row>
    <row r="115" spans="2:12" x14ac:dyDescent="0.25">
      <c r="B115" s="6"/>
      <c r="C115" s="18"/>
      <c r="D115" s="7"/>
      <c r="E115" s="7">
        <v>3812</v>
      </c>
      <c r="F115" s="7" t="s">
        <v>142</v>
      </c>
      <c r="G115" s="79">
        <v>26.76</v>
      </c>
      <c r="H115" s="76">
        <v>54</v>
      </c>
      <c r="I115" s="76">
        <v>54</v>
      </c>
      <c r="J115" s="79">
        <v>54</v>
      </c>
      <c r="K115" s="80">
        <f>IFERROR(J115/G115*100,"")</f>
        <v>201.79372197309416</v>
      </c>
      <c r="L115" s="80">
        <f t="shared" si="35"/>
        <v>100</v>
      </c>
    </row>
    <row r="116" spans="2:12" x14ac:dyDescent="0.25">
      <c r="B116" s="6"/>
      <c r="C116" s="18"/>
      <c r="D116" s="7"/>
      <c r="E116" s="7">
        <v>3813</v>
      </c>
      <c r="F116" s="7" t="s">
        <v>143</v>
      </c>
      <c r="G116" s="79">
        <v>74873.89</v>
      </c>
      <c r="H116" s="76">
        <v>19731.240000000002</v>
      </c>
      <c r="I116" s="76">
        <v>19731.240000000002</v>
      </c>
      <c r="J116" s="79">
        <v>19731.240000000002</v>
      </c>
      <c r="K116" s="80">
        <f>IFERROR(J116/G116*100,"")</f>
        <v>26.352631070724392</v>
      </c>
      <c r="L116" s="80">
        <f t="shared" si="35"/>
        <v>100</v>
      </c>
    </row>
    <row r="117" spans="2:12" x14ac:dyDescent="0.25">
      <c r="B117" s="93"/>
      <c r="C117" s="94"/>
      <c r="D117" s="95">
        <v>383</v>
      </c>
      <c r="E117" s="95"/>
      <c r="F117" s="95" t="s">
        <v>144</v>
      </c>
      <c r="G117" s="98"/>
      <c r="H117" s="97"/>
      <c r="I117" s="97"/>
      <c r="J117" s="98"/>
      <c r="K117" s="99" t="str">
        <f>IFERROR(J117/G117*100,"")</f>
        <v/>
      </c>
      <c r="L117" s="80" t="str">
        <f t="shared" si="35"/>
        <v/>
      </c>
    </row>
    <row r="118" spans="2:12" x14ac:dyDescent="0.25">
      <c r="B118" s="6"/>
      <c r="C118" s="18"/>
      <c r="D118" s="7"/>
      <c r="E118" s="7">
        <v>3831</v>
      </c>
      <c r="F118" s="7" t="s">
        <v>145</v>
      </c>
      <c r="G118" s="79"/>
      <c r="H118" s="76"/>
      <c r="I118" s="76"/>
      <c r="J118" s="79"/>
      <c r="K118" s="80"/>
      <c r="L118" s="80" t="str">
        <f t="shared" si="35"/>
        <v/>
      </c>
    </row>
    <row r="119" spans="2:12" x14ac:dyDescent="0.25">
      <c r="B119" s="120">
        <v>4</v>
      </c>
      <c r="C119" s="120"/>
      <c r="D119" s="120"/>
      <c r="E119" s="120"/>
      <c r="F119" s="121" t="s">
        <v>6</v>
      </c>
      <c r="G119" s="63">
        <f>G123+G133+G120</f>
        <v>2894500.2899999996</v>
      </c>
      <c r="H119" s="63">
        <f t="shared" ref="H119:J119" si="44">H123+H133+H120</f>
        <v>5706044.5899999999</v>
      </c>
      <c r="I119" s="63">
        <f t="shared" si="44"/>
        <v>5706044.5899999999</v>
      </c>
      <c r="J119" s="63">
        <f t="shared" si="44"/>
        <v>4409698.13</v>
      </c>
      <c r="K119" s="64">
        <f>IFERROR(J119/G119*100,"")</f>
        <v>152.34747584012163</v>
      </c>
      <c r="L119" s="64">
        <f t="shared" si="35"/>
        <v>77.281171929993633</v>
      </c>
    </row>
    <row r="120" spans="2:12" ht="18" customHeight="1" x14ac:dyDescent="0.25">
      <c r="B120" s="125"/>
      <c r="C120" s="126">
        <v>41</v>
      </c>
      <c r="D120" s="126"/>
      <c r="E120" s="126"/>
      <c r="F120" s="127" t="s">
        <v>7</v>
      </c>
      <c r="G120" s="128"/>
      <c r="H120" s="128">
        <f t="shared" ref="H120:I120" si="45">SUM(H121)</f>
        <v>165000</v>
      </c>
      <c r="I120" s="128">
        <f t="shared" si="45"/>
        <v>165000</v>
      </c>
      <c r="J120" s="128">
        <f>SUM(J121)</f>
        <v>165000</v>
      </c>
      <c r="K120" s="129"/>
      <c r="L120" s="129"/>
    </row>
    <row r="121" spans="2:12" x14ac:dyDescent="0.25">
      <c r="B121" s="132"/>
      <c r="C121" s="132"/>
      <c r="D121" s="132">
        <v>411</v>
      </c>
      <c r="E121" s="132"/>
      <c r="F121" s="133" t="s">
        <v>31</v>
      </c>
      <c r="G121" s="134"/>
      <c r="H121" s="134">
        <f t="shared" ref="H121:I121" si="46">SUM(H122)</f>
        <v>165000</v>
      </c>
      <c r="I121" s="134">
        <f t="shared" si="46"/>
        <v>165000</v>
      </c>
      <c r="J121" s="134">
        <f>SUM(J122)</f>
        <v>165000</v>
      </c>
      <c r="K121" s="135"/>
      <c r="L121" s="135"/>
    </row>
    <row r="122" spans="2:12" x14ac:dyDescent="0.25">
      <c r="B122" s="130"/>
      <c r="C122" s="130"/>
      <c r="D122" s="130"/>
      <c r="E122" s="130">
        <v>4111</v>
      </c>
      <c r="F122" s="131" t="s">
        <v>32</v>
      </c>
      <c r="G122" s="79"/>
      <c r="H122" s="79">
        <v>165000</v>
      </c>
      <c r="I122" s="79">
        <v>165000</v>
      </c>
      <c r="J122" s="79">
        <v>165000</v>
      </c>
      <c r="K122" s="80"/>
      <c r="L122" s="80">
        <f>J122/I122*100</f>
        <v>100</v>
      </c>
    </row>
    <row r="123" spans="2:12" x14ac:dyDescent="0.25">
      <c r="B123" s="66"/>
      <c r="C123" s="65">
        <v>42</v>
      </c>
      <c r="D123" s="66"/>
      <c r="E123" s="66"/>
      <c r="F123" s="122" t="s">
        <v>146</v>
      </c>
      <c r="G123" s="67">
        <f>G124+G131+G129</f>
        <v>2203661.6199999996</v>
      </c>
      <c r="H123" s="67">
        <f t="shared" ref="H123:J123" si="47">H124+H131+H129</f>
        <v>266398.75</v>
      </c>
      <c r="I123" s="67">
        <f t="shared" si="47"/>
        <v>266398.75</v>
      </c>
      <c r="J123" s="67">
        <f t="shared" si="47"/>
        <v>12221.72</v>
      </c>
      <c r="K123" s="68">
        <f>IFERROR(J123/G123*100,"")</f>
        <v>0.55460965009682395</v>
      </c>
      <c r="L123" s="68">
        <f t="shared" si="35"/>
        <v>4.5877542593574479</v>
      </c>
    </row>
    <row r="124" spans="2:12" x14ac:dyDescent="0.25">
      <c r="B124" s="92"/>
      <c r="C124" s="92"/>
      <c r="D124" s="73">
        <v>422</v>
      </c>
      <c r="E124" s="73"/>
      <c r="F124" s="73" t="s">
        <v>147</v>
      </c>
      <c r="G124" s="74">
        <f>SUM(G125:G128)</f>
        <v>2147400.5499999998</v>
      </c>
      <c r="H124" s="74">
        <f t="shared" ref="H124:J124" si="48">SUM(H125:H128)</f>
        <v>264811.75</v>
      </c>
      <c r="I124" s="74">
        <f t="shared" si="48"/>
        <v>264811.75</v>
      </c>
      <c r="J124" s="74">
        <f t="shared" si="48"/>
        <v>10637.13</v>
      </c>
      <c r="K124" s="75">
        <f>IFERROR(J124/G124*100,"")</f>
        <v>0.49534913269906722</v>
      </c>
      <c r="L124" s="75">
        <f t="shared" si="35"/>
        <v>4.0168648105682614</v>
      </c>
    </row>
    <row r="125" spans="2:12" x14ac:dyDescent="0.25">
      <c r="B125" s="9"/>
      <c r="C125" s="9"/>
      <c r="D125" s="6"/>
      <c r="E125" s="6">
        <v>4221</v>
      </c>
      <c r="F125" s="6" t="s">
        <v>148</v>
      </c>
      <c r="G125" s="79">
        <v>596767.46</v>
      </c>
      <c r="H125" s="123"/>
      <c r="I125" s="76"/>
      <c r="J125" s="79"/>
      <c r="K125" s="80">
        <f>IFERROR(J125/G125*100,"")</f>
        <v>0</v>
      </c>
      <c r="L125" s="75" t="str">
        <f t="shared" si="35"/>
        <v/>
      </c>
    </row>
    <row r="126" spans="2:12" x14ac:dyDescent="0.25">
      <c r="B126" s="9"/>
      <c r="C126" s="9"/>
      <c r="D126" s="6"/>
      <c r="E126" s="6">
        <v>4222</v>
      </c>
      <c r="F126" s="6" t="s">
        <v>149</v>
      </c>
      <c r="G126" s="79">
        <v>0</v>
      </c>
      <c r="H126" s="123"/>
      <c r="I126" s="76"/>
      <c r="J126" s="79"/>
      <c r="K126" s="80" t="str">
        <f t="shared" ref="K126:K132" si="49">IFERROR(J126/G126*100,"")</f>
        <v/>
      </c>
      <c r="L126" s="75" t="str">
        <f t="shared" si="35"/>
        <v/>
      </c>
    </row>
    <row r="127" spans="2:12" x14ac:dyDescent="0.25">
      <c r="B127" s="9"/>
      <c r="C127" s="9"/>
      <c r="D127" s="6"/>
      <c r="E127" s="6">
        <v>4223</v>
      </c>
      <c r="F127" s="6" t="s">
        <v>150</v>
      </c>
      <c r="G127" s="79">
        <v>600</v>
      </c>
      <c r="H127" s="123"/>
      <c r="I127" s="76"/>
      <c r="J127" s="79">
        <v>1402.5</v>
      </c>
      <c r="K127" s="80">
        <f t="shared" si="49"/>
        <v>233.75</v>
      </c>
      <c r="L127" s="75" t="str">
        <f t="shared" si="35"/>
        <v/>
      </c>
    </row>
    <row r="128" spans="2:12" x14ac:dyDescent="0.25">
      <c r="B128" s="9"/>
      <c r="C128" s="9"/>
      <c r="D128" s="6"/>
      <c r="E128" s="6">
        <v>4227</v>
      </c>
      <c r="F128" s="6" t="s">
        <v>151</v>
      </c>
      <c r="G128" s="79">
        <v>1550033.09</v>
      </c>
      <c r="H128" s="123">
        <v>264811.75</v>
      </c>
      <c r="I128" s="123">
        <v>264811.75</v>
      </c>
      <c r="J128" s="79">
        <v>9234.6299999999992</v>
      </c>
      <c r="K128" s="80">
        <f t="shared" si="49"/>
        <v>0.59576986191952841</v>
      </c>
      <c r="L128" s="75">
        <f t="shared" si="35"/>
        <v>3.4872432964171716</v>
      </c>
    </row>
    <row r="129" spans="2:12" x14ac:dyDescent="0.25">
      <c r="B129" s="96"/>
      <c r="C129" s="96"/>
      <c r="D129" s="93">
        <v>423</v>
      </c>
      <c r="E129" s="93"/>
      <c r="F129" s="93" t="s">
        <v>152</v>
      </c>
      <c r="G129" s="98">
        <f>SUM(G130)</f>
        <v>55003.48</v>
      </c>
      <c r="H129" s="98">
        <f t="shared" ref="H129:J129" si="50">SUM(H130)</f>
        <v>0</v>
      </c>
      <c r="I129" s="98">
        <f t="shared" si="50"/>
        <v>0</v>
      </c>
      <c r="J129" s="98">
        <f t="shared" si="50"/>
        <v>0</v>
      </c>
      <c r="K129" s="80">
        <f t="shared" si="49"/>
        <v>0</v>
      </c>
      <c r="L129" s="75" t="str">
        <f t="shared" si="35"/>
        <v/>
      </c>
    </row>
    <row r="130" spans="2:12" x14ac:dyDescent="0.25">
      <c r="B130" s="9"/>
      <c r="C130" s="9"/>
      <c r="D130" s="6"/>
      <c r="E130" s="6">
        <v>4231</v>
      </c>
      <c r="F130" s="6" t="s">
        <v>153</v>
      </c>
      <c r="G130" s="79">
        <v>55003.48</v>
      </c>
      <c r="H130" s="123"/>
      <c r="I130" s="76"/>
      <c r="J130" s="79"/>
      <c r="K130" s="80">
        <f t="shared" si="49"/>
        <v>0</v>
      </c>
      <c r="L130" s="75" t="str">
        <f t="shared" si="35"/>
        <v/>
      </c>
    </row>
    <row r="131" spans="2:12" x14ac:dyDescent="0.25">
      <c r="B131" s="92"/>
      <c r="C131" s="92"/>
      <c r="D131" s="73">
        <v>424</v>
      </c>
      <c r="E131" s="73"/>
      <c r="F131" s="73" t="s">
        <v>154</v>
      </c>
      <c r="G131" s="74">
        <f>SUM(G132:G132)</f>
        <v>1257.5899999999999</v>
      </c>
      <c r="H131" s="74">
        <f t="shared" ref="H131:J131" si="51">SUM(H132:H132)</f>
        <v>1587</v>
      </c>
      <c r="I131" s="74">
        <f t="shared" si="51"/>
        <v>1587</v>
      </c>
      <c r="J131" s="74">
        <f t="shared" si="51"/>
        <v>1584.59</v>
      </c>
      <c r="K131" s="80">
        <f t="shared" si="49"/>
        <v>126.00211515676811</v>
      </c>
      <c r="L131" s="75">
        <f t="shared" si="35"/>
        <v>99.848141146817895</v>
      </c>
    </row>
    <row r="132" spans="2:12" x14ac:dyDescent="0.25">
      <c r="B132" s="9"/>
      <c r="C132" s="9"/>
      <c r="D132" s="6"/>
      <c r="E132" s="6">
        <v>4241</v>
      </c>
      <c r="F132" s="6" t="s">
        <v>155</v>
      </c>
      <c r="G132" s="79">
        <v>1257.5899999999999</v>
      </c>
      <c r="H132" s="123">
        <v>1587</v>
      </c>
      <c r="I132" s="123">
        <v>1587</v>
      </c>
      <c r="J132" s="79">
        <v>1584.59</v>
      </c>
      <c r="K132" s="80">
        <f t="shared" si="49"/>
        <v>126.00211515676811</v>
      </c>
      <c r="L132" s="75">
        <f t="shared" si="35"/>
        <v>99.848141146817895</v>
      </c>
    </row>
    <row r="133" spans="2:12" ht="25.5" x14ac:dyDescent="0.25">
      <c r="B133" s="66"/>
      <c r="C133" s="65">
        <v>45</v>
      </c>
      <c r="D133" s="66"/>
      <c r="E133" s="66"/>
      <c r="F133" s="122" t="s">
        <v>156</v>
      </c>
      <c r="G133" s="67">
        <f>G134+G140+G138</f>
        <v>690838.67</v>
      </c>
      <c r="H133" s="67">
        <f t="shared" ref="H133:J133" si="52">H134+H140+H138</f>
        <v>5274645.84</v>
      </c>
      <c r="I133" s="67">
        <f t="shared" si="52"/>
        <v>5274645.84</v>
      </c>
      <c r="J133" s="67">
        <f t="shared" si="52"/>
        <v>4232476.41</v>
      </c>
      <c r="K133" s="68">
        <f>IFERROR(J133/G133*100,"")</f>
        <v>612.65771500602307</v>
      </c>
      <c r="L133" s="68">
        <f t="shared" si="35"/>
        <v>80.241907009248621</v>
      </c>
    </row>
    <row r="134" spans="2:12" x14ac:dyDescent="0.25">
      <c r="B134" s="92"/>
      <c r="C134" s="92"/>
      <c r="D134" s="73">
        <v>451</v>
      </c>
      <c r="E134" s="73"/>
      <c r="F134" s="73" t="s">
        <v>157</v>
      </c>
      <c r="G134" s="74">
        <f>SUM(G135)</f>
        <v>690838.67</v>
      </c>
      <c r="H134" s="74">
        <f t="shared" ref="H134:J134" si="53">SUM(H135)</f>
        <v>5274645.84</v>
      </c>
      <c r="I134" s="74">
        <f t="shared" si="53"/>
        <v>5274645.84</v>
      </c>
      <c r="J134" s="74">
        <f t="shared" si="53"/>
        <v>4232476.41</v>
      </c>
      <c r="K134" s="75">
        <f>IFERROR(J134/G134*100,"")</f>
        <v>612.65771500602307</v>
      </c>
      <c r="L134" s="75">
        <f t="shared" si="35"/>
        <v>80.241907009248621</v>
      </c>
    </row>
    <row r="135" spans="2:12" x14ac:dyDescent="0.25">
      <c r="B135" s="9"/>
      <c r="C135" s="9"/>
      <c r="D135" s="6"/>
      <c r="E135" s="6">
        <v>4511</v>
      </c>
      <c r="F135" s="73" t="s">
        <v>157</v>
      </c>
      <c r="G135" s="79">
        <v>690838.67</v>
      </c>
      <c r="H135" s="123">
        <v>5274645.84</v>
      </c>
      <c r="I135" s="123">
        <v>5274645.84</v>
      </c>
      <c r="J135" s="79">
        <v>4232476.41</v>
      </c>
      <c r="K135" s="80">
        <f>IFERROR(J135/G135*100,"")</f>
        <v>612.65771500602307</v>
      </c>
      <c r="L135" s="80">
        <f t="shared" si="35"/>
        <v>80.241907009248621</v>
      </c>
    </row>
  </sheetData>
  <mergeCells count="7">
    <mergeCell ref="B48:F48"/>
    <mergeCell ref="B49:F49"/>
    <mergeCell ref="B8:F8"/>
    <mergeCell ref="B9:F9"/>
    <mergeCell ref="B2:L2"/>
    <mergeCell ref="B4:L4"/>
    <mergeCell ref="B6:L6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27"/>
  <sheetViews>
    <sheetView workbookViewId="0">
      <selection activeCell="H20" sqref="H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2"/>
      <c r="C1" s="2"/>
      <c r="D1" s="2"/>
      <c r="E1" s="2"/>
      <c r="F1" s="3"/>
      <c r="G1" s="3"/>
      <c r="H1" s="3"/>
    </row>
    <row r="2" spans="2:8" ht="15.75" customHeight="1" x14ac:dyDescent="0.25">
      <c r="B2" s="235" t="s">
        <v>38</v>
      </c>
      <c r="C2" s="235"/>
      <c r="D2" s="235"/>
      <c r="E2" s="235"/>
      <c r="F2" s="235"/>
      <c r="G2" s="235"/>
      <c r="H2" s="235"/>
    </row>
    <row r="3" spans="2:8" ht="18" x14ac:dyDescent="0.25">
      <c r="B3" s="2"/>
      <c r="C3" s="2"/>
      <c r="D3" s="2"/>
      <c r="E3" s="2"/>
      <c r="F3" s="3"/>
      <c r="G3" s="3"/>
      <c r="H3" s="3"/>
    </row>
    <row r="4" spans="2:8" ht="25.5" x14ac:dyDescent="0.25">
      <c r="B4" s="30" t="s">
        <v>8</v>
      </c>
      <c r="C4" s="30" t="s">
        <v>195</v>
      </c>
      <c r="D4" s="30" t="s">
        <v>64</v>
      </c>
      <c r="E4" s="30" t="s">
        <v>65</v>
      </c>
      <c r="F4" s="30" t="s">
        <v>196</v>
      </c>
      <c r="G4" s="30" t="s">
        <v>17</v>
      </c>
      <c r="H4" s="30" t="s">
        <v>40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19</v>
      </c>
      <c r="H5" s="30" t="s">
        <v>20</v>
      </c>
    </row>
    <row r="6" spans="2:8" ht="15.75" customHeight="1" x14ac:dyDescent="0.25">
      <c r="B6" s="58" t="s">
        <v>221</v>
      </c>
      <c r="C6" s="59">
        <f>C7+C17</f>
        <v>7515063.9700000007</v>
      </c>
      <c r="D6" s="181">
        <f>D7+D17</f>
        <v>9607384.3499999996</v>
      </c>
      <c r="E6" s="181">
        <f>E7+E17</f>
        <v>9607384.3499999996</v>
      </c>
      <c r="F6" s="59">
        <f>F7+F17</f>
        <v>8153841</v>
      </c>
      <c r="G6" s="60">
        <f>IFERROR(F6/C6*100,"")</f>
        <v>108.49995465840325</v>
      </c>
      <c r="H6" s="60">
        <f>IFERROR(F6/D6*100,"")</f>
        <v>84.870561049220441</v>
      </c>
    </row>
    <row r="7" spans="2:8" ht="15.75" customHeight="1" x14ac:dyDescent="0.25">
      <c r="B7" s="182" t="s">
        <v>222</v>
      </c>
      <c r="C7" s="183">
        <f>SUM(C8:C16)</f>
        <v>2427533.1300000004</v>
      </c>
      <c r="D7" s="47">
        <f>SUM(D8:D16)</f>
        <v>3154914.85</v>
      </c>
      <c r="E7" s="47">
        <f>SUM(E8:E16)</f>
        <v>3154914.85</v>
      </c>
      <c r="F7" s="183">
        <f>SUM(F8:F16)</f>
        <v>3177889.59</v>
      </c>
      <c r="G7" s="184">
        <f t="shared" ref="G7:G27" si="0">IFERROR(F7/C7*100,"")</f>
        <v>130.91024590877569</v>
      </c>
      <c r="H7" s="184">
        <f t="shared" ref="H7:H27" si="1">IFERROR(F7/D7*100,"")</f>
        <v>100.72822060474944</v>
      </c>
    </row>
    <row r="8" spans="2:8" x14ac:dyDescent="0.25">
      <c r="B8" s="11" t="s">
        <v>223</v>
      </c>
      <c r="C8" s="79">
        <f>28691.22+2099184.26</f>
        <v>2127875.48</v>
      </c>
      <c r="D8" s="76">
        <f>33500+2760000</f>
        <v>2793500</v>
      </c>
      <c r="E8" s="76">
        <f>33500+2760000</f>
        <v>2793500</v>
      </c>
      <c r="F8" s="79">
        <f>28271.28+2818223.03+210</f>
        <v>2846704.3099999996</v>
      </c>
      <c r="G8" s="80">
        <f t="shared" si="0"/>
        <v>133.7815270092778</v>
      </c>
      <c r="H8" s="80">
        <f t="shared" si="1"/>
        <v>101.90457526400571</v>
      </c>
    </row>
    <row r="9" spans="2:8" x14ac:dyDescent="0.25">
      <c r="B9" s="26" t="s">
        <v>224</v>
      </c>
      <c r="C9" s="79">
        <f>572.11+35575.39+245847.03+2932.4+10054.84+261.85</f>
        <v>295243.62000000005</v>
      </c>
      <c r="D9" s="76">
        <f>241462.82+16502.12+53918.73+14305+16897.62+8500+3875+3013.15</f>
        <v>358474.44</v>
      </c>
      <c r="E9" s="76">
        <f>241462.82+16502.12+53918.73+14305+16897.62+8500+3875+3013.15</f>
        <v>358474.44</v>
      </c>
      <c r="F9" s="79">
        <f>27921.6+16897.62+7077.22+3875+3013.15+248811.53</f>
        <v>307596.12</v>
      </c>
      <c r="G9" s="80">
        <f t="shared" si="0"/>
        <v>104.18383299866053</v>
      </c>
      <c r="H9" s="80">
        <f t="shared" si="1"/>
        <v>85.806988079819575</v>
      </c>
    </row>
    <row r="10" spans="2:8" x14ac:dyDescent="0.25">
      <c r="B10" s="26" t="s">
        <v>225</v>
      </c>
      <c r="C10" s="79">
        <f>303.78+1327.23+1530.59</f>
        <v>3161.6</v>
      </c>
      <c r="D10" s="76">
        <f>1200+153.41</f>
        <v>1353.41</v>
      </c>
      <c r="E10" s="76">
        <f>1200+153.41</f>
        <v>1353.41</v>
      </c>
      <c r="F10" s="79">
        <f>18335.56+153.41+1200</f>
        <v>19688.97</v>
      </c>
      <c r="G10" s="80">
        <f t="shared" si="0"/>
        <v>622.75335273279359</v>
      </c>
      <c r="H10" s="80">
        <f t="shared" si="1"/>
        <v>1454.7675870578762</v>
      </c>
    </row>
    <row r="11" spans="2:8" x14ac:dyDescent="0.25">
      <c r="B11" s="26" t="s">
        <v>226</v>
      </c>
      <c r="C11" s="79"/>
      <c r="D11" s="76"/>
      <c r="E11" s="76"/>
      <c r="F11" s="79"/>
      <c r="G11" s="80" t="str">
        <f t="shared" si="0"/>
        <v/>
      </c>
      <c r="H11" s="80" t="str">
        <f t="shared" si="1"/>
        <v/>
      </c>
    </row>
    <row r="12" spans="2:8" ht="25.5" x14ac:dyDescent="0.25">
      <c r="B12" s="185" t="s">
        <v>227</v>
      </c>
      <c r="C12" s="79"/>
      <c r="D12" s="76"/>
      <c r="E12" s="76"/>
      <c r="F12" s="79"/>
      <c r="G12" s="80" t="str">
        <f t="shared" si="0"/>
        <v/>
      </c>
      <c r="H12" s="80" t="str">
        <f t="shared" si="1"/>
        <v/>
      </c>
    </row>
    <row r="13" spans="2:8" x14ac:dyDescent="0.25">
      <c r="B13" s="26" t="s">
        <v>228</v>
      </c>
      <c r="C13" s="79"/>
      <c r="D13" s="76"/>
      <c r="E13" s="76"/>
      <c r="F13" s="79"/>
      <c r="G13" s="80" t="str">
        <f t="shared" si="0"/>
        <v/>
      </c>
      <c r="H13" s="80" t="str">
        <f t="shared" si="1"/>
        <v/>
      </c>
    </row>
    <row r="14" spans="2:8" x14ac:dyDescent="0.25">
      <c r="B14" s="26" t="s">
        <v>229</v>
      </c>
      <c r="C14" s="79"/>
      <c r="D14" s="76"/>
      <c r="E14" s="76"/>
      <c r="F14" s="79"/>
      <c r="G14" s="80" t="str">
        <f t="shared" si="0"/>
        <v/>
      </c>
      <c r="H14" s="80" t="str">
        <f t="shared" si="1"/>
        <v/>
      </c>
    </row>
    <row r="15" spans="2:8" x14ac:dyDescent="0.25">
      <c r="B15" s="26" t="s">
        <v>230</v>
      </c>
      <c r="C15" s="79">
        <f>1252.43</f>
        <v>1252.43</v>
      </c>
      <c r="D15" s="76">
        <v>1587</v>
      </c>
      <c r="E15" s="76">
        <v>1587</v>
      </c>
      <c r="F15" s="79">
        <v>3900.19</v>
      </c>
      <c r="G15" s="80">
        <f t="shared" si="0"/>
        <v>311.4098193112589</v>
      </c>
      <c r="H15" s="80">
        <f t="shared" si="1"/>
        <v>245.75866414618778</v>
      </c>
    </row>
    <row r="16" spans="2:8" x14ac:dyDescent="0.25">
      <c r="B16" s="26" t="s">
        <v>231</v>
      </c>
      <c r="C16" s="79"/>
      <c r="D16" s="76"/>
      <c r="E16" s="76"/>
      <c r="F16" s="79"/>
      <c r="G16" s="80" t="str">
        <f t="shared" si="0"/>
        <v/>
      </c>
      <c r="H16" s="80" t="str">
        <f t="shared" si="1"/>
        <v/>
      </c>
    </row>
    <row r="17" spans="2:8" x14ac:dyDescent="0.25">
      <c r="B17" s="182" t="s">
        <v>232</v>
      </c>
      <c r="C17" s="183">
        <f>SUM(C18:C27)</f>
        <v>5087530.84</v>
      </c>
      <c r="D17" s="47">
        <f>SUM(D18:D27)</f>
        <v>6452469.4999999991</v>
      </c>
      <c r="E17" s="47">
        <f>SUM(E18:E27)</f>
        <v>6452469.4999999991</v>
      </c>
      <c r="F17" s="183">
        <f>SUM(F18:F27)</f>
        <v>4975951.41</v>
      </c>
      <c r="G17" s="186">
        <f t="shared" si="0"/>
        <v>97.806805825672399</v>
      </c>
      <c r="H17" s="184">
        <f t="shared" si="1"/>
        <v>77.117007837076969</v>
      </c>
    </row>
    <row r="18" spans="2:8" x14ac:dyDescent="0.25">
      <c r="B18" s="25" t="s">
        <v>223</v>
      </c>
      <c r="C18" s="79">
        <f>2515708.97-C8</f>
        <v>387833.49000000022</v>
      </c>
      <c r="D18" s="76">
        <f>13691.92+2416.24+13749.42+13877.51+8942.32+9552.64+6489.63+17253.97+5826.59+1028.22+16010.77+729.96</f>
        <v>109569.19000000002</v>
      </c>
      <c r="E18" s="76">
        <f>13691.92+2416.24+13749.42+13877.51+8942.32+9552.64+6489.63+17253.97+5826.59+1028.22+16010.77+729.96</f>
        <v>109569.19000000002</v>
      </c>
      <c r="F18" s="79">
        <f>1028.22+5826.59+664+729.96+79837.62</f>
        <v>88086.39</v>
      </c>
      <c r="G18" s="80">
        <f t="shared" si="0"/>
        <v>22.712424860472968</v>
      </c>
      <c r="H18" s="80">
        <f t="shared" si="1"/>
        <v>80.393393434778503</v>
      </c>
    </row>
    <row r="19" spans="2:8" x14ac:dyDescent="0.25">
      <c r="B19" s="25" t="s">
        <v>224</v>
      </c>
      <c r="C19" s="79">
        <f>1664783.79+269.56-C9</f>
        <v>1369809.73</v>
      </c>
      <c r="D19" s="76">
        <f>105232.76+837.94+63179.63+115000+293.49+51.79+294.72+664+664+22187.5+128866.03+43737.44+1183.06+4115+210+5500</f>
        <v>492017.35999999987</v>
      </c>
      <c r="E19" s="76">
        <f>105232.76+837.94+63179.63+115000+293.49+51.79+294.72+664+664+22187.5+128866.03+43737.44+1183.06+4115+210+5500</f>
        <v>492017.35999999987</v>
      </c>
      <c r="F19" s="79">
        <f>1070.26+8250+22187.5+45081+63179.63+837.94+190812.62+3235</f>
        <v>334653.95</v>
      </c>
      <c r="G19" s="80">
        <f t="shared" si="0"/>
        <v>24.430688632938828</v>
      </c>
      <c r="H19" s="80">
        <f t="shared" si="1"/>
        <v>68.016695589765391</v>
      </c>
    </row>
    <row r="20" spans="2:8" x14ac:dyDescent="0.25">
      <c r="B20" s="25" t="s">
        <v>225</v>
      </c>
      <c r="C20" s="79"/>
      <c r="D20" s="76">
        <v>195.29</v>
      </c>
      <c r="E20" s="76">
        <v>195.29</v>
      </c>
      <c r="F20" s="79"/>
      <c r="G20" s="80" t="str">
        <f t="shared" si="0"/>
        <v/>
      </c>
      <c r="H20" s="80"/>
    </row>
    <row r="21" spans="2:8" x14ac:dyDescent="0.25">
      <c r="B21" s="26" t="s">
        <v>233</v>
      </c>
      <c r="C21" s="79">
        <v>37306.04</v>
      </c>
      <c r="D21" s="76">
        <f>6704.02</f>
        <v>6704.02</v>
      </c>
      <c r="E21" s="76">
        <f>6704.02</f>
        <v>6704.02</v>
      </c>
      <c r="F21" s="79">
        <f>1183.06+6704.02</f>
        <v>7887.08</v>
      </c>
      <c r="G21" s="80">
        <f t="shared" si="0"/>
        <v>21.141563135620935</v>
      </c>
      <c r="H21" s="80">
        <f t="shared" si="1"/>
        <v>117.64702372606286</v>
      </c>
    </row>
    <row r="22" spans="2:8" ht="25.5" x14ac:dyDescent="0.25">
      <c r="B22" s="185" t="s">
        <v>234</v>
      </c>
      <c r="C22" s="79">
        <v>310950.03000000003</v>
      </c>
      <c r="D22" s="76">
        <f>63454.8+44883.42+7920.61</f>
        <v>116258.83</v>
      </c>
      <c r="E22" s="76">
        <f>63454.8+44883.42+7920.61</f>
        <v>116258.83</v>
      </c>
      <c r="F22" s="79">
        <f>7920.61+44883.42+63454.8</f>
        <v>116258.83</v>
      </c>
      <c r="G22" s="80">
        <f t="shared" si="0"/>
        <v>37.388267819109068</v>
      </c>
      <c r="H22" s="80">
        <f t="shared" si="1"/>
        <v>100</v>
      </c>
    </row>
    <row r="23" spans="2:8" x14ac:dyDescent="0.25">
      <c r="B23" s="25" t="s">
        <v>228</v>
      </c>
      <c r="C23" s="79">
        <v>270</v>
      </c>
      <c r="D23" s="76"/>
      <c r="E23" s="76"/>
      <c r="F23" s="79"/>
      <c r="G23" s="80">
        <f t="shared" si="0"/>
        <v>0</v>
      </c>
      <c r="H23" s="80" t="str">
        <f t="shared" si="1"/>
        <v/>
      </c>
    </row>
    <row r="24" spans="2:8" x14ac:dyDescent="0.25">
      <c r="B24" s="25" t="s">
        <v>229</v>
      </c>
      <c r="C24" s="79">
        <v>88113.69</v>
      </c>
      <c r="D24" s="76">
        <f>19731.24+54+3481.98</f>
        <v>23267.22</v>
      </c>
      <c r="E24" s="76">
        <f>19731.24+54+3481.98</f>
        <v>23267.22</v>
      </c>
      <c r="F24" s="79">
        <f>3481.98+19731.24+54</f>
        <v>23267.22</v>
      </c>
      <c r="G24" s="80">
        <f t="shared" si="0"/>
        <v>26.405908094417562</v>
      </c>
      <c r="H24" s="80">
        <f t="shared" si="1"/>
        <v>100</v>
      </c>
    </row>
    <row r="25" spans="2:8" ht="25.5" x14ac:dyDescent="0.25">
      <c r="B25" s="25" t="s">
        <v>245</v>
      </c>
      <c r="C25" s="79"/>
      <c r="D25" s="76">
        <v>165000</v>
      </c>
      <c r="E25" s="76">
        <v>165000</v>
      </c>
      <c r="F25" s="79">
        <v>165000</v>
      </c>
      <c r="G25" s="80"/>
      <c r="H25" s="80"/>
    </row>
    <row r="26" spans="2:8" ht="25.5" x14ac:dyDescent="0.25">
      <c r="B26" s="25" t="s">
        <v>235</v>
      </c>
      <c r="C26" s="79">
        <f>2203661.62-C15</f>
        <v>2202409.19</v>
      </c>
      <c r="D26" s="76">
        <v>264811.75</v>
      </c>
      <c r="E26" s="76">
        <v>264811.75</v>
      </c>
      <c r="F26" s="79">
        <v>8321.5300000000007</v>
      </c>
      <c r="G26" s="80">
        <f t="shared" si="0"/>
        <v>0.3778375988342112</v>
      </c>
      <c r="H26" s="80">
        <f t="shared" si="1"/>
        <v>3.1424323127655778</v>
      </c>
    </row>
    <row r="27" spans="2:8" ht="25.5" x14ac:dyDescent="0.25">
      <c r="B27" s="185" t="s">
        <v>236</v>
      </c>
      <c r="C27" s="79">
        <v>690838.67</v>
      </c>
      <c r="D27" s="76">
        <f>607601.08+1662285.01+264704.04+624441.98+1092655.17+779643.27+243315.29</f>
        <v>5274645.8399999989</v>
      </c>
      <c r="E27" s="76">
        <f>607601.08+1662285.01+264704.04+624441.98+1092655.17+779643.27+243315.29</f>
        <v>5274645.8399999989</v>
      </c>
      <c r="F27" s="79">
        <f>243315.29+625115.58+602601.08+2761444.46</f>
        <v>4232476.41</v>
      </c>
      <c r="G27" s="80">
        <f t="shared" si="0"/>
        <v>612.65771500602307</v>
      </c>
      <c r="H27" s="80">
        <f t="shared" si="1"/>
        <v>80.241907009248621</v>
      </c>
    </row>
  </sheetData>
  <mergeCells count="1">
    <mergeCell ref="B2:H2"/>
  </mergeCells>
  <phoneticPr fontId="33" type="noConversion"/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56"/>
  <sheetViews>
    <sheetView topLeftCell="A137" workbookViewId="0">
      <selection activeCell="I142" sqref="I142"/>
    </sheetView>
  </sheetViews>
  <sheetFormatPr defaultRowHeight="15" x14ac:dyDescent="0.25"/>
  <cols>
    <col min="1" max="1" width="3.140625" customWidth="1"/>
    <col min="2" max="2" width="4.42578125" customWidth="1"/>
    <col min="3" max="3" width="37.7109375" customWidth="1"/>
    <col min="4" max="7" width="25.28515625" customWidth="1"/>
    <col min="8" max="9" width="15.7109375" customWidth="1"/>
    <col min="12" max="14" width="11.7109375" bestFit="1" customWidth="1"/>
  </cols>
  <sheetData>
    <row r="1" spans="1:13" ht="18" x14ac:dyDescent="0.25">
      <c r="C1" s="2"/>
      <c r="D1" s="2"/>
      <c r="E1" s="2"/>
      <c r="F1" s="2"/>
      <c r="G1" s="3"/>
      <c r="H1" s="3"/>
      <c r="I1" s="3"/>
    </row>
    <row r="2" spans="1:13" ht="15.75" customHeight="1" x14ac:dyDescent="0.25">
      <c r="C2" s="235" t="s">
        <v>34</v>
      </c>
      <c r="D2" s="235"/>
      <c r="E2" s="235"/>
      <c r="F2" s="235"/>
      <c r="G2" s="235"/>
      <c r="H2" s="235"/>
      <c r="I2" s="235"/>
    </row>
    <row r="3" spans="1:13" ht="18" x14ac:dyDescent="0.25">
      <c r="C3" s="2"/>
      <c r="D3" s="2"/>
      <c r="E3" s="2"/>
      <c r="F3" s="2"/>
      <c r="G3" s="3"/>
      <c r="H3" s="3"/>
      <c r="I3" s="3"/>
    </row>
    <row r="4" spans="1:13" ht="25.5" x14ac:dyDescent="0.25">
      <c r="A4" s="236" t="s">
        <v>8</v>
      </c>
      <c r="B4" s="236"/>
      <c r="C4" s="236"/>
      <c r="D4" s="30" t="s">
        <v>193</v>
      </c>
      <c r="E4" s="30" t="s">
        <v>194</v>
      </c>
      <c r="F4" s="30" t="s">
        <v>65</v>
      </c>
      <c r="G4" s="30" t="s">
        <v>66</v>
      </c>
      <c r="H4" s="30" t="s">
        <v>17</v>
      </c>
      <c r="I4" s="30" t="s">
        <v>40</v>
      </c>
    </row>
    <row r="5" spans="1:13" x14ac:dyDescent="0.25">
      <c r="A5" s="236">
        <v>1</v>
      </c>
      <c r="B5" s="236"/>
      <c r="C5" s="236"/>
      <c r="D5" s="30">
        <v>2</v>
      </c>
      <c r="E5" s="30">
        <v>3</v>
      </c>
      <c r="F5" s="30">
        <v>4</v>
      </c>
      <c r="G5" s="30">
        <v>5</v>
      </c>
      <c r="H5" s="30" t="s">
        <v>19</v>
      </c>
      <c r="I5" s="30" t="s">
        <v>20</v>
      </c>
    </row>
    <row r="6" spans="1:13" x14ac:dyDescent="0.25">
      <c r="A6" s="58"/>
      <c r="B6" s="58"/>
      <c r="C6" s="58" t="s">
        <v>68</v>
      </c>
      <c r="D6" s="59">
        <f>D7+D10+D13+D17+D26+D32+D29+D38</f>
        <v>7463686.1399999997</v>
      </c>
      <c r="E6" s="59">
        <f>E7+E10+E13+E17+E26+E32+E29+E38+E20+E23</f>
        <v>9424726.1099999994</v>
      </c>
      <c r="F6" s="59">
        <f t="shared" ref="F6:G6" si="0">F7+F10+F13+F17+F26+F32+F29+F38+F20+F23</f>
        <v>9424726.1099999994</v>
      </c>
      <c r="G6" s="59">
        <f t="shared" si="0"/>
        <v>7978284.5199999996</v>
      </c>
      <c r="H6" s="60">
        <f t="shared" ref="H6:H12" si="1">IFERROR(G6/D6*100,"")</f>
        <v>106.89469479754945</v>
      </c>
      <c r="I6" s="60">
        <f>IFERROR(G6/E6*100,"")</f>
        <v>84.652693636738491</v>
      </c>
      <c r="M6" s="55"/>
    </row>
    <row r="7" spans="1:13" x14ac:dyDescent="0.25">
      <c r="A7" s="58"/>
      <c r="B7" s="58"/>
      <c r="C7" s="58" t="s">
        <v>168</v>
      </c>
      <c r="D7" s="59">
        <f>SUM(D8)</f>
        <v>39815.300000000003</v>
      </c>
      <c r="E7" s="59">
        <f t="shared" ref="E7:F8" si="2">SUM(E8)</f>
        <v>3545911.23</v>
      </c>
      <c r="F7" s="59">
        <f t="shared" si="2"/>
        <v>3545911.23</v>
      </c>
      <c r="G7" s="59">
        <f>SUM(G8)</f>
        <v>3096764.04</v>
      </c>
      <c r="H7" s="60">
        <f t="shared" si="1"/>
        <v>7777.8242032585449</v>
      </c>
      <c r="I7" s="60">
        <f>IFERROR(G7/E7*100,"")</f>
        <v>87.333377491235169</v>
      </c>
      <c r="L7" s="55"/>
    </row>
    <row r="8" spans="1:13" x14ac:dyDescent="0.25">
      <c r="A8" s="142">
        <v>6</v>
      </c>
      <c r="B8" s="142"/>
      <c r="C8" s="142" t="s">
        <v>2</v>
      </c>
      <c r="D8" s="88">
        <f>SUM(D9)</f>
        <v>39815.300000000003</v>
      </c>
      <c r="E8" s="88">
        <f t="shared" si="2"/>
        <v>3545911.23</v>
      </c>
      <c r="F8" s="88">
        <f t="shared" si="2"/>
        <v>3545911.23</v>
      </c>
      <c r="G8" s="88">
        <f>SUM(G9)</f>
        <v>3096764.04</v>
      </c>
      <c r="H8" s="72">
        <f t="shared" si="1"/>
        <v>7777.8242032585449</v>
      </c>
      <c r="I8" s="144">
        <f t="shared" ref="I8:I40" si="3">IFERROR(G8/E8*100,"")</f>
        <v>87.333377491235169</v>
      </c>
      <c r="M8" s="55"/>
    </row>
    <row r="9" spans="1:13" x14ac:dyDescent="0.25">
      <c r="A9" s="9"/>
      <c r="B9" s="9">
        <v>67</v>
      </c>
      <c r="C9" s="9" t="s">
        <v>169</v>
      </c>
      <c r="D9" s="146">
        <v>39815.300000000003</v>
      </c>
      <c r="E9" s="145">
        <f>5500+729.96+20125.77+1236971.14+664+6489.63+14044.14+210+1092655.17+9552.64+270232.76-410+889146.02</f>
        <v>3545911.23</v>
      </c>
      <c r="F9" s="145">
        <f>5500+729.96+20125.77+1236971.14+664+6489.63+14044.14+210+1092655.17+9552.64+270232.76-410+889146.02</f>
        <v>3545911.23</v>
      </c>
      <c r="G9" s="146">
        <f>43233.72+862.68+3052003.64+664</f>
        <v>3096764.04</v>
      </c>
      <c r="H9" s="72">
        <f t="shared" si="1"/>
        <v>7777.8242032585449</v>
      </c>
      <c r="I9" s="147">
        <f t="shared" si="3"/>
        <v>87.333377491235169</v>
      </c>
    </row>
    <row r="10" spans="1:13" ht="25.5" x14ac:dyDescent="0.25">
      <c r="A10" s="148"/>
      <c r="B10" s="148"/>
      <c r="C10" s="58" t="s">
        <v>170</v>
      </c>
      <c r="D10" s="149">
        <f>SUM(D11)</f>
        <v>778488.56</v>
      </c>
      <c r="E10" s="149">
        <f t="shared" ref="E10:F11" si="4">SUM(E11)</f>
        <v>242662.82</v>
      </c>
      <c r="F10" s="149">
        <f t="shared" si="4"/>
        <v>242662.82</v>
      </c>
      <c r="G10" s="149">
        <f>SUM(G11)</f>
        <v>269771</v>
      </c>
      <c r="H10" s="60">
        <f t="shared" si="1"/>
        <v>34.653174607986529</v>
      </c>
      <c r="I10" s="60">
        <f t="shared" si="3"/>
        <v>111.17113037753373</v>
      </c>
    </row>
    <row r="11" spans="1:13" x14ac:dyDescent="0.25">
      <c r="A11" s="150">
        <v>6</v>
      </c>
      <c r="B11" s="96"/>
      <c r="C11" s="150" t="s">
        <v>2</v>
      </c>
      <c r="D11" s="151">
        <f>SUM(D12)</f>
        <v>778488.56</v>
      </c>
      <c r="E11" s="151">
        <f t="shared" si="4"/>
        <v>242662.82</v>
      </c>
      <c r="F11" s="151">
        <f t="shared" si="4"/>
        <v>242662.82</v>
      </c>
      <c r="G11" s="151">
        <f>SUM(G12)</f>
        <v>269771</v>
      </c>
      <c r="H11" s="72">
        <f t="shared" si="1"/>
        <v>34.653174607986529</v>
      </c>
      <c r="I11" s="144">
        <f t="shared" si="3"/>
        <v>111.17113037753373</v>
      </c>
    </row>
    <row r="12" spans="1:13" x14ac:dyDescent="0.25">
      <c r="A12" s="9"/>
      <c r="B12" s="9">
        <v>67</v>
      </c>
      <c r="C12" s="9" t="s">
        <v>169</v>
      </c>
      <c r="D12" s="146">
        <v>778488.56</v>
      </c>
      <c r="E12" s="145">
        <v>242662.82</v>
      </c>
      <c r="F12" s="145">
        <v>242662.82</v>
      </c>
      <c r="G12" s="146">
        <f>269771</f>
        <v>269771</v>
      </c>
      <c r="H12" s="72">
        <f t="shared" si="1"/>
        <v>34.653174607986529</v>
      </c>
      <c r="I12" s="147">
        <f t="shared" si="3"/>
        <v>111.17113037753373</v>
      </c>
    </row>
    <row r="13" spans="1:13" x14ac:dyDescent="0.25">
      <c r="A13" s="58"/>
      <c r="B13" s="58"/>
      <c r="C13" s="58" t="s">
        <v>171</v>
      </c>
      <c r="D13" s="141">
        <f>SUM(D14)</f>
        <v>63653.95</v>
      </c>
      <c r="E13" s="141">
        <f t="shared" ref="E13:F13" si="5">SUM(E14)</f>
        <v>50002.12</v>
      </c>
      <c r="F13" s="141">
        <f t="shared" si="5"/>
        <v>50002.12</v>
      </c>
      <c r="G13" s="141">
        <f>SUM(G14)</f>
        <v>63270.86</v>
      </c>
      <c r="H13" s="60">
        <f>IFERROR(G13/D13*100,"")</f>
        <v>99.398167749212746</v>
      </c>
      <c r="I13" s="60">
        <f t="shared" si="3"/>
        <v>126.53635485855399</v>
      </c>
    </row>
    <row r="14" spans="1:13" x14ac:dyDescent="0.25">
      <c r="A14" s="142">
        <v>6</v>
      </c>
      <c r="B14" s="142"/>
      <c r="C14" s="142" t="s">
        <v>2</v>
      </c>
      <c r="D14" s="143">
        <f>SUM(D15:D16)</f>
        <v>63653.95</v>
      </c>
      <c r="E14" s="143">
        <f t="shared" ref="E14:F14" si="6">SUM(E15:E16)</f>
        <v>50002.12</v>
      </c>
      <c r="F14" s="143">
        <f t="shared" si="6"/>
        <v>50002.12</v>
      </c>
      <c r="G14" s="143">
        <f>SUM(G15:G16)</f>
        <v>63270.86</v>
      </c>
      <c r="H14" s="144">
        <f t="shared" ref="H14:H40" si="7">IFERROR(G14/D14*100,"")</f>
        <v>99.398167749212746</v>
      </c>
      <c r="I14" s="144">
        <f t="shared" si="3"/>
        <v>126.53635485855399</v>
      </c>
    </row>
    <row r="15" spans="1:13" x14ac:dyDescent="0.25">
      <c r="A15" s="7"/>
      <c r="B15" s="7">
        <v>64</v>
      </c>
      <c r="C15" s="6" t="s">
        <v>79</v>
      </c>
      <c r="D15" s="146">
        <v>0.32</v>
      </c>
      <c r="E15" s="145">
        <v>2.12</v>
      </c>
      <c r="F15" s="145">
        <v>2.12</v>
      </c>
      <c r="G15" s="146">
        <v>3.03</v>
      </c>
      <c r="H15" s="152">
        <f t="shared" si="7"/>
        <v>946.875</v>
      </c>
      <c r="I15" s="147">
        <f t="shared" si="3"/>
        <v>142.92452830188677</v>
      </c>
    </row>
    <row r="16" spans="1:13" x14ac:dyDescent="0.25">
      <c r="A16" s="7"/>
      <c r="B16" s="6">
        <v>66</v>
      </c>
      <c r="C16" s="6" t="s">
        <v>172</v>
      </c>
      <c r="D16" s="146">
        <v>63653.63</v>
      </c>
      <c r="E16" s="145">
        <v>50000</v>
      </c>
      <c r="F16" s="145">
        <v>50000</v>
      </c>
      <c r="G16" s="146">
        <v>63267.83</v>
      </c>
      <c r="H16" s="152"/>
      <c r="I16" s="147">
        <f t="shared" si="3"/>
        <v>126.53566000000001</v>
      </c>
    </row>
    <row r="17" spans="1:14" ht="15.75" customHeight="1" x14ac:dyDescent="0.25">
      <c r="A17" s="58"/>
      <c r="B17" s="58"/>
      <c r="C17" s="153" t="s">
        <v>173</v>
      </c>
      <c r="D17" s="141">
        <f>D18</f>
        <v>19830.02</v>
      </c>
      <c r="E17" s="141">
        <f t="shared" ref="E17:F17" si="8">E18</f>
        <v>14305</v>
      </c>
      <c r="F17" s="141">
        <f t="shared" si="8"/>
        <v>14305</v>
      </c>
      <c r="G17" s="141">
        <f>G18</f>
        <v>14585</v>
      </c>
      <c r="H17" s="60">
        <f t="shared" si="7"/>
        <v>73.550102319614396</v>
      </c>
      <c r="I17" s="60">
        <f t="shared" si="3"/>
        <v>101.95735756728416</v>
      </c>
    </row>
    <row r="18" spans="1:14" ht="15.75" customHeight="1" x14ac:dyDescent="0.25">
      <c r="A18" s="142">
        <v>6</v>
      </c>
      <c r="B18" s="142"/>
      <c r="C18" s="142" t="s">
        <v>2</v>
      </c>
      <c r="D18" s="143">
        <f>D19</f>
        <v>19830.02</v>
      </c>
      <c r="E18" s="143">
        <f>E19</f>
        <v>14305</v>
      </c>
      <c r="F18" s="143">
        <f>F19</f>
        <v>14305</v>
      </c>
      <c r="G18" s="143">
        <f>G19</f>
        <v>14585</v>
      </c>
      <c r="H18" s="144">
        <f t="shared" si="7"/>
        <v>73.550102319614396</v>
      </c>
      <c r="I18" s="144">
        <f t="shared" si="3"/>
        <v>101.95735756728416</v>
      </c>
    </row>
    <row r="19" spans="1:14" ht="25.5" x14ac:dyDescent="0.25">
      <c r="A19" s="7"/>
      <c r="B19" s="7">
        <v>65</v>
      </c>
      <c r="C19" s="24" t="s">
        <v>174</v>
      </c>
      <c r="D19" s="77">
        <v>19830.02</v>
      </c>
      <c r="E19" s="145">
        <v>14305</v>
      </c>
      <c r="F19" s="145">
        <v>14305</v>
      </c>
      <c r="G19" s="77">
        <v>14585</v>
      </c>
      <c r="H19" s="152">
        <f>IFERROR(G19/D16*100,"")</f>
        <v>22.913068744076341</v>
      </c>
      <c r="I19" s="147">
        <f t="shared" si="3"/>
        <v>101.95735756728416</v>
      </c>
    </row>
    <row r="20" spans="1:14" x14ac:dyDescent="0.25">
      <c r="A20" s="58"/>
      <c r="B20" s="58"/>
      <c r="C20" s="58" t="s">
        <v>237</v>
      </c>
      <c r="D20" s="141">
        <f>D21</f>
        <v>0</v>
      </c>
      <c r="E20" s="141">
        <f t="shared" ref="E20:F20" si="9">E21</f>
        <v>5891.01</v>
      </c>
      <c r="F20" s="141">
        <f t="shared" si="9"/>
        <v>5891.01</v>
      </c>
      <c r="G20" s="141">
        <f>G21</f>
        <v>5629.58</v>
      </c>
      <c r="H20" s="60" t="str">
        <f t="shared" ref="H20" si="10">IFERROR(G20/D20*100,"")</f>
        <v/>
      </c>
      <c r="I20" s="60">
        <f t="shared" ref="I20" si="11">IFERROR(G20/E20*100,"")</f>
        <v>95.562221079237688</v>
      </c>
    </row>
    <row r="21" spans="1:14" x14ac:dyDescent="0.25">
      <c r="A21" s="142">
        <v>6</v>
      </c>
      <c r="B21" s="142"/>
      <c r="C21" s="142" t="s">
        <v>2</v>
      </c>
      <c r="D21" s="77">
        <f>SUM(D22)</f>
        <v>0</v>
      </c>
      <c r="E21" s="77">
        <f t="shared" ref="E21:I21" si="12">SUM(E22)</f>
        <v>5891.01</v>
      </c>
      <c r="F21" s="77">
        <f t="shared" si="12"/>
        <v>5891.01</v>
      </c>
      <c r="G21" s="77">
        <f t="shared" si="12"/>
        <v>5629.58</v>
      </c>
      <c r="H21" s="77">
        <f t="shared" si="12"/>
        <v>0</v>
      </c>
      <c r="I21" s="77">
        <f t="shared" si="12"/>
        <v>0</v>
      </c>
    </row>
    <row r="22" spans="1:14" ht="25.5" x14ac:dyDescent="0.25">
      <c r="A22" s="7"/>
      <c r="B22" s="7"/>
      <c r="C22" s="9" t="s">
        <v>21</v>
      </c>
      <c r="D22" s="77"/>
      <c r="E22" s="145">
        <v>5891.01</v>
      </c>
      <c r="F22" s="145">
        <v>5891.01</v>
      </c>
      <c r="G22" s="77">
        <v>5629.58</v>
      </c>
      <c r="H22" s="152"/>
      <c r="I22" s="147"/>
    </row>
    <row r="23" spans="1:14" x14ac:dyDescent="0.25">
      <c r="A23" s="58"/>
      <c r="B23" s="58"/>
      <c r="C23" s="58" t="s">
        <v>238</v>
      </c>
      <c r="D23" s="141">
        <f>D24</f>
        <v>0</v>
      </c>
      <c r="E23" s="141">
        <f t="shared" ref="E23:F23" si="13">E24</f>
        <v>33382.26</v>
      </c>
      <c r="F23" s="141">
        <f t="shared" si="13"/>
        <v>33382.26</v>
      </c>
      <c r="G23" s="141">
        <f>G24</f>
        <v>31900.97</v>
      </c>
      <c r="H23" s="60" t="str">
        <f t="shared" ref="H23" si="14">IFERROR(G23/D23*100,"")</f>
        <v/>
      </c>
      <c r="I23" s="60">
        <f t="shared" ref="I23" si="15">IFERROR(G23/E23*100,"")</f>
        <v>95.562643152380929</v>
      </c>
    </row>
    <row r="24" spans="1:14" x14ac:dyDescent="0.25">
      <c r="A24" s="142">
        <v>6</v>
      </c>
      <c r="B24" s="142"/>
      <c r="C24" s="142" t="s">
        <v>2</v>
      </c>
      <c r="D24" s="77">
        <f>SUM(D25)</f>
        <v>0</v>
      </c>
      <c r="E24" s="77">
        <f t="shared" ref="E24:I24" si="16">SUM(E25)</f>
        <v>33382.26</v>
      </c>
      <c r="F24" s="77">
        <f t="shared" si="16"/>
        <v>33382.26</v>
      </c>
      <c r="G24" s="77">
        <f t="shared" si="16"/>
        <v>31900.97</v>
      </c>
      <c r="H24" s="77">
        <f t="shared" si="16"/>
        <v>0</v>
      </c>
      <c r="I24" s="77">
        <f t="shared" si="16"/>
        <v>0</v>
      </c>
    </row>
    <row r="25" spans="1:14" ht="25.5" x14ac:dyDescent="0.25">
      <c r="A25" s="7"/>
      <c r="B25" s="7"/>
      <c r="C25" s="9" t="s">
        <v>21</v>
      </c>
      <c r="D25" s="77"/>
      <c r="E25" s="145">
        <v>33382.26</v>
      </c>
      <c r="F25" s="145">
        <v>33382.26</v>
      </c>
      <c r="G25" s="77">
        <v>31900.97</v>
      </c>
      <c r="H25" s="152"/>
      <c r="I25" s="147"/>
    </row>
    <row r="26" spans="1:14" x14ac:dyDescent="0.25">
      <c r="A26" s="58"/>
      <c r="B26" s="58"/>
      <c r="C26" s="58" t="s">
        <v>175</v>
      </c>
      <c r="D26" s="141">
        <f>D27</f>
        <v>2719480.27</v>
      </c>
      <c r="E26" s="141">
        <f t="shared" ref="E26:F27" si="17">E27</f>
        <v>4446193.29</v>
      </c>
      <c r="F26" s="141">
        <f t="shared" si="17"/>
        <v>4446193.29</v>
      </c>
      <c r="G26" s="141">
        <f>G27</f>
        <v>3474518.39</v>
      </c>
      <c r="H26" s="60">
        <f t="shared" si="7"/>
        <v>127.76405949067613</v>
      </c>
      <c r="I26" s="60">
        <f t="shared" si="3"/>
        <v>78.145914119716551</v>
      </c>
      <c r="N26" s="55"/>
    </row>
    <row r="27" spans="1:14" x14ac:dyDescent="0.25">
      <c r="A27" s="142">
        <v>6</v>
      </c>
      <c r="B27" s="142"/>
      <c r="C27" s="142" t="s">
        <v>2</v>
      </c>
      <c r="D27" s="143">
        <f>D28</f>
        <v>2719480.27</v>
      </c>
      <c r="E27" s="143">
        <f t="shared" si="17"/>
        <v>4446193.29</v>
      </c>
      <c r="F27" s="143">
        <f t="shared" si="17"/>
        <v>4446193.29</v>
      </c>
      <c r="G27" s="143">
        <f>G28</f>
        <v>3474518.39</v>
      </c>
      <c r="H27" s="144">
        <f t="shared" si="7"/>
        <v>127.76405949067613</v>
      </c>
      <c r="I27" s="144">
        <f t="shared" si="3"/>
        <v>78.145914119716551</v>
      </c>
    </row>
    <row r="28" spans="1:14" ht="25.5" x14ac:dyDescent="0.25">
      <c r="A28" s="9"/>
      <c r="B28" s="9">
        <v>63</v>
      </c>
      <c r="C28" s="9" t="s">
        <v>21</v>
      </c>
      <c r="D28" s="146">
        <v>2719480.27</v>
      </c>
      <c r="E28" s="145">
        <v>4446193.29</v>
      </c>
      <c r="F28" s="145">
        <v>4446193.29</v>
      </c>
      <c r="G28" s="146">
        <v>3474518.39</v>
      </c>
      <c r="H28" s="152">
        <f t="shared" si="7"/>
        <v>127.76405949067613</v>
      </c>
      <c r="I28" s="144">
        <f t="shared" si="3"/>
        <v>78.145914119716551</v>
      </c>
    </row>
    <row r="29" spans="1:14" x14ac:dyDescent="0.25">
      <c r="A29" s="58"/>
      <c r="B29" s="148"/>
      <c r="C29" s="58" t="s">
        <v>179</v>
      </c>
      <c r="D29" s="141">
        <f>D30</f>
        <v>3505181.94</v>
      </c>
      <c r="E29" s="141">
        <f t="shared" ref="E29:F29" si="18">E30</f>
        <v>452714.8</v>
      </c>
      <c r="F29" s="141">
        <f t="shared" si="18"/>
        <v>452714.8</v>
      </c>
      <c r="G29" s="141">
        <f>G30</f>
        <v>386581.1</v>
      </c>
      <c r="H29" s="64">
        <f t="shared" ref="H29:H31" si="19">IFERROR(G29/D29*100,"")</f>
        <v>11.028845481270508</v>
      </c>
      <c r="I29" s="60">
        <f t="shared" ref="I29:I31" si="20">IFERROR(G29/E29*100,"")</f>
        <v>85.391752158312471</v>
      </c>
    </row>
    <row r="30" spans="1:14" x14ac:dyDescent="0.25">
      <c r="A30" s="150">
        <v>6</v>
      </c>
      <c r="B30" s="96"/>
      <c r="C30" s="150" t="s">
        <v>2</v>
      </c>
      <c r="D30" s="154">
        <f>SUM(D31)</f>
        <v>3505181.94</v>
      </c>
      <c r="E30" s="154">
        <f t="shared" ref="E30:F30" si="21">SUM(E31)</f>
        <v>452714.8</v>
      </c>
      <c r="F30" s="154">
        <f t="shared" si="21"/>
        <v>452714.8</v>
      </c>
      <c r="G30" s="154">
        <f>SUM(G31)</f>
        <v>386581.1</v>
      </c>
      <c r="H30" s="72">
        <f t="shared" si="19"/>
        <v>11.028845481270508</v>
      </c>
      <c r="I30" s="144">
        <f t="shared" si="20"/>
        <v>85.391752158312471</v>
      </c>
      <c r="N30" s="55"/>
    </row>
    <row r="31" spans="1:14" ht="25.5" x14ac:dyDescent="0.25">
      <c r="A31" s="9"/>
      <c r="B31" s="9">
        <v>63</v>
      </c>
      <c r="C31" s="9" t="s">
        <v>21</v>
      </c>
      <c r="D31" s="146">
        <v>3505181.94</v>
      </c>
      <c r="E31" s="145">
        <v>452714.8</v>
      </c>
      <c r="F31" s="145">
        <v>452714.8</v>
      </c>
      <c r="G31" s="146">
        <v>386581.1</v>
      </c>
      <c r="H31" s="72">
        <f t="shared" si="19"/>
        <v>11.028845481270508</v>
      </c>
      <c r="I31" s="147">
        <f t="shared" si="20"/>
        <v>85.391752158312471</v>
      </c>
    </row>
    <row r="32" spans="1:14" x14ac:dyDescent="0.25">
      <c r="A32" s="58"/>
      <c r="B32" s="58"/>
      <c r="C32" s="58" t="s">
        <v>176</v>
      </c>
      <c r="D32" s="141">
        <f>D33</f>
        <v>6314.23</v>
      </c>
      <c r="E32" s="141">
        <f t="shared" ref="E32:F32" si="22">E33</f>
        <v>3875</v>
      </c>
      <c r="F32" s="141">
        <f t="shared" si="22"/>
        <v>3875</v>
      </c>
      <c r="G32" s="141">
        <f>G33</f>
        <v>5475</v>
      </c>
      <c r="H32" s="60">
        <f t="shared" si="7"/>
        <v>86.708909874996635</v>
      </c>
      <c r="I32" s="60">
        <f t="shared" si="3"/>
        <v>141.29032258064515</v>
      </c>
    </row>
    <row r="33" spans="1:9" x14ac:dyDescent="0.25">
      <c r="A33" s="142">
        <v>6</v>
      </c>
      <c r="B33" s="142"/>
      <c r="C33" s="142" t="s">
        <v>2</v>
      </c>
      <c r="D33" s="143">
        <f>SUM(D34)</f>
        <v>6314.23</v>
      </c>
      <c r="E33" s="143">
        <f t="shared" ref="E33:F33" si="23">SUM(E34)</f>
        <v>3875</v>
      </c>
      <c r="F33" s="143">
        <f t="shared" si="23"/>
        <v>3875</v>
      </c>
      <c r="G33" s="143">
        <f>SUM(G34)</f>
        <v>5475</v>
      </c>
      <c r="H33" s="72">
        <f t="shared" si="7"/>
        <v>86.708909874996635</v>
      </c>
      <c r="I33" s="144">
        <f t="shared" si="3"/>
        <v>141.29032258064515</v>
      </c>
    </row>
    <row r="34" spans="1:9" x14ac:dyDescent="0.25">
      <c r="A34" s="5"/>
      <c r="B34" s="9">
        <v>66</v>
      </c>
      <c r="C34" s="9" t="s">
        <v>177</v>
      </c>
      <c r="D34" s="76">
        <v>6314.23</v>
      </c>
      <c r="E34" s="76">
        <v>3875</v>
      </c>
      <c r="F34" s="76">
        <v>3875</v>
      </c>
      <c r="G34" s="76">
        <v>5475</v>
      </c>
      <c r="H34" s="72">
        <f t="shared" si="7"/>
        <v>86.708909874996635</v>
      </c>
      <c r="I34" s="147">
        <f t="shared" si="3"/>
        <v>141.29032258064515</v>
      </c>
    </row>
    <row r="35" spans="1:9" ht="25.5" x14ac:dyDescent="0.25">
      <c r="A35" s="58"/>
      <c r="B35" s="148"/>
      <c r="C35" s="58" t="s">
        <v>178</v>
      </c>
      <c r="D35" s="141">
        <f>D36</f>
        <v>0</v>
      </c>
      <c r="E35" s="141">
        <f t="shared" ref="E35:G35" si="24">E36</f>
        <v>0</v>
      </c>
      <c r="F35" s="141">
        <f t="shared" si="24"/>
        <v>0</v>
      </c>
      <c r="G35" s="141">
        <f t="shared" si="24"/>
        <v>0</v>
      </c>
      <c r="H35" s="64" t="str">
        <f t="shared" si="7"/>
        <v/>
      </c>
      <c r="I35" s="60" t="str">
        <f t="shared" si="3"/>
        <v/>
      </c>
    </row>
    <row r="36" spans="1:9" ht="25.5" x14ac:dyDescent="0.25">
      <c r="A36" s="5">
        <v>7</v>
      </c>
      <c r="B36" s="9"/>
      <c r="C36" s="5" t="s">
        <v>3</v>
      </c>
      <c r="D36" s="76">
        <f>SUM(D37)</f>
        <v>0</v>
      </c>
      <c r="E36" s="76">
        <f t="shared" ref="E36:G36" si="25">SUM(E37)</f>
        <v>0</v>
      </c>
      <c r="F36" s="76">
        <f t="shared" si="25"/>
        <v>0</v>
      </c>
      <c r="G36" s="76">
        <f t="shared" si="25"/>
        <v>0</v>
      </c>
      <c r="H36" s="144" t="str">
        <f t="shared" si="7"/>
        <v/>
      </c>
      <c r="I36" s="144" t="str">
        <f t="shared" si="3"/>
        <v/>
      </c>
    </row>
    <row r="37" spans="1:9" ht="25.5" x14ac:dyDescent="0.25">
      <c r="A37" s="5"/>
      <c r="B37" s="9">
        <v>72</v>
      </c>
      <c r="C37" s="9" t="s">
        <v>92</v>
      </c>
      <c r="D37" s="76">
        <v>0</v>
      </c>
      <c r="E37" s="76">
        <v>0</v>
      </c>
      <c r="F37" s="76">
        <v>0</v>
      </c>
      <c r="G37" s="76">
        <v>0</v>
      </c>
      <c r="H37" s="144" t="str">
        <f t="shared" si="7"/>
        <v/>
      </c>
      <c r="I37" s="144" t="str">
        <f t="shared" si="3"/>
        <v/>
      </c>
    </row>
    <row r="38" spans="1:9" ht="25.5" x14ac:dyDescent="0.25">
      <c r="A38" s="58"/>
      <c r="B38" s="148"/>
      <c r="C38" s="58" t="s">
        <v>180</v>
      </c>
      <c r="D38" s="141">
        <f>D39</f>
        <v>330921.87</v>
      </c>
      <c r="E38" s="141">
        <f t="shared" ref="E38:F39" si="26">E39</f>
        <v>629788.57999999996</v>
      </c>
      <c r="F38" s="141">
        <f t="shared" si="26"/>
        <v>629788.57999999996</v>
      </c>
      <c r="G38" s="141">
        <f>G39</f>
        <v>629788.57999999996</v>
      </c>
      <c r="H38" s="64">
        <f t="shared" si="7"/>
        <v>190.31337517825582</v>
      </c>
      <c r="I38" s="60">
        <f t="shared" si="3"/>
        <v>100</v>
      </c>
    </row>
    <row r="39" spans="1:9" ht="25.5" x14ac:dyDescent="0.25">
      <c r="A39" s="150">
        <v>8</v>
      </c>
      <c r="B39" s="96"/>
      <c r="C39" s="150" t="s">
        <v>9</v>
      </c>
      <c r="D39" s="154">
        <f>D40</f>
        <v>330921.87</v>
      </c>
      <c r="E39" s="154">
        <f t="shared" si="26"/>
        <v>629788.57999999996</v>
      </c>
      <c r="F39" s="154">
        <f t="shared" si="26"/>
        <v>629788.57999999996</v>
      </c>
      <c r="G39" s="154">
        <f>G40</f>
        <v>629788.57999999996</v>
      </c>
      <c r="H39" s="72">
        <f t="shared" si="7"/>
        <v>190.31337517825582</v>
      </c>
      <c r="I39" s="144">
        <f t="shared" si="3"/>
        <v>100</v>
      </c>
    </row>
    <row r="40" spans="1:9" x14ac:dyDescent="0.25">
      <c r="A40" s="9"/>
      <c r="B40" s="9">
        <v>84</v>
      </c>
      <c r="C40" s="9" t="s">
        <v>14</v>
      </c>
      <c r="D40" s="146">
        <v>330921.87</v>
      </c>
      <c r="E40" s="145">
        <v>629788.57999999996</v>
      </c>
      <c r="F40" s="145">
        <v>629788.57999999996</v>
      </c>
      <c r="G40" s="146">
        <v>629788.57999999996</v>
      </c>
      <c r="H40" s="72">
        <f t="shared" si="7"/>
        <v>190.31337517825582</v>
      </c>
      <c r="I40" s="147">
        <f t="shared" si="3"/>
        <v>100</v>
      </c>
    </row>
    <row r="43" spans="1:9" ht="25.5" x14ac:dyDescent="0.25">
      <c r="A43" s="236" t="s">
        <v>8</v>
      </c>
      <c r="B43" s="236"/>
      <c r="C43" s="236"/>
      <c r="D43" s="30" t="s">
        <v>193</v>
      </c>
      <c r="E43" s="30" t="s">
        <v>194</v>
      </c>
      <c r="F43" s="30" t="s">
        <v>65</v>
      </c>
      <c r="G43" s="30" t="s">
        <v>66</v>
      </c>
      <c r="H43" s="30" t="s">
        <v>17</v>
      </c>
      <c r="I43" s="30" t="s">
        <v>40</v>
      </c>
    </row>
    <row r="44" spans="1:9" x14ac:dyDescent="0.25">
      <c r="A44" s="236">
        <v>1</v>
      </c>
      <c r="B44" s="236"/>
      <c r="C44" s="236"/>
      <c r="D44" s="30">
        <v>2</v>
      </c>
      <c r="E44" s="30">
        <v>3</v>
      </c>
      <c r="F44" s="30">
        <v>4</v>
      </c>
      <c r="G44" s="30">
        <v>5</v>
      </c>
      <c r="H44" s="30" t="s">
        <v>19</v>
      </c>
      <c r="I44" s="30" t="s">
        <v>20</v>
      </c>
    </row>
    <row r="45" spans="1:9" x14ac:dyDescent="0.25">
      <c r="A45" s="58"/>
      <c r="B45" s="58"/>
      <c r="C45" s="58" t="s">
        <v>33</v>
      </c>
      <c r="D45" s="141">
        <f>D46+D64+D69+D76+D81+D91+D101+D109+D121+D125+D137+D140+D152</f>
        <v>7475248.6699999999</v>
      </c>
      <c r="E45" s="141">
        <f>E46+E57+E64+E69+E76+E81+E88+E91+E95+E98+E106+E109+E121+E125+E137+E140+E145+E152+E102</f>
        <v>9607384.3500000015</v>
      </c>
      <c r="F45" s="141">
        <f>F46+F57+F64+F69+F76+F81+F88+F91+F95+F98+F106+F109+F121+F125+F137+F140+F145+F152+F102</f>
        <v>9607384.3500000015</v>
      </c>
      <c r="G45" s="141">
        <f>G46+G57+G64+G69+G76+G81+G88+G91+G95+G98+G106+G109+G121+G125+G137+G140+G145+G152+G102</f>
        <v>8153841</v>
      </c>
      <c r="H45" s="60">
        <f t="shared" ref="H45:H84" si="27">IFERROR(G45/D45*100,"")</f>
        <v>109.07785626882698</v>
      </c>
      <c r="I45" s="60">
        <f t="shared" ref="I45:I47" si="28">IFERROR(G45/E45*100,"")</f>
        <v>84.870561049220427</v>
      </c>
    </row>
    <row r="46" spans="1:9" x14ac:dyDescent="0.25">
      <c r="A46" s="58"/>
      <c r="B46" s="58"/>
      <c r="C46" s="58" t="s">
        <v>168</v>
      </c>
      <c r="D46" s="141">
        <f t="shared" ref="D46" si="29">D47+D54</f>
        <v>40324.69</v>
      </c>
      <c r="E46" s="141">
        <f>E47+E54</f>
        <v>1284524.6400000001</v>
      </c>
      <c r="F46" s="141">
        <f>F47+F54</f>
        <v>1284524.6400000001</v>
      </c>
      <c r="G46" s="141">
        <f>G47+G54</f>
        <v>973944.71000000008</v>
      </c>
      <c r="H46" s="60">
        <f t="shared" si="27"/>
        <v>2415.256533900199</v>
      </c>
      <c r="I46" s="60">
        <f t="shared" si="28"/>
        <v>75.821411257630672</v>
      </c>
    </row>
    <row r="47" spans="1:9" x14ac:dyDescent="0.25">
      <c r="A47" s="142">
        <v>3</v>
      </c>
      <c r="B47" s="142"/>
      <c r="C47" s="142" t="s">
        <v>4</v>
      </c>
      <c r="D47" s="88">
        <f>SUM(D48:D53)</f>
        <v>40324.69</v>
      </c>
      <c r="E47" s="88">
        <f>SUM(E48:E53)</f>
        <v>240069.62</v>
      </c>
      <c r="F47" s="88">
        <f>SUM(F48:F53)</f>
        <v>240069.62</v>
      </c>
      <c r="G47" s="88">
        <f>SUM(G48:G53)</f>
        <v>185979.91</v>
      </c>
      <c r="H47" s="144">
        <f t="shared" si="27"/>
        <v>461.20605018910254</v>
      </c>
      <c r="I47" s="144">
        <f t="shared" si="28"/>
        <v>77.469156655473526</v>
      </c>
    </row>
    <row r="48" spans="1:9" x14ac:dyDescent="0.25">
      <c r="A48" s="9"/>
      <c r="B48" s="9">
        <v>31</v>
      </c>
      <c r="C48" s="9" t="s">
        <v>5</v>
      </c>
      <c r="D48" s="146">
        <f>5910+1128.13+11279.08+11013.33+7260.17</f>
        <v>36590.71</v>
      </c>
      <c r="E48" s="145">
        <f>729.96+16010.77+6489.63+13749.42</f>
        <v>36979.78</v>
      </c>
      <c r="F48" s="145">
        <f>729.96+16010.77+6489.63+13749.42</f>
        <v>36979.78</v>
      </c>
      <c r="G48" s="146">
        <f>729.96+210+33115.57</f>
        <v>34055.53</v>
      </c>
      <c r="H48" s="152">
        <f>G48/D48*100</f>
        <v>93.071520066158868</v>
      </c>
      <c r="I48" s="152">
        <f>IFERROR(G48/E48*100,"")</f>
        <v>92.092300170525618</v>
      </c>
    </row>
    <row r="49" spans="1:13" x14ac:dyDescent="0.25">
      <c r="A49" s="7"/>
      <c r="B49" s="6">
        <v>32</v>
      </c>
      <c r="C49" s="6" t="s">
        <v>13</v>
      </c>
      <c r="D49" s="146">
        <f>1750.49+735+978.49</f>
        <v>3463.9799999999996</v>
      </c>
      <c r="E49" s="145">
        <f>5500+4115+128866.03+664+294.72</f>
        <v>139439.75</v>
      </c>
      <c r="F49" s="145">
        <f>5500+4115+128866.03+664+294.72</f>
        <v>139439.75</v>
      </c>
      <c r="G49" s="146">
        <f>85579.86+3235-345.28</f>
        <v>88469.58</v>
      </c>
      <c r="H49" s="152">
        <f t="shared" ref="H49" si="30">G49/D49*100</f>
        <v>2553.9864548871533</v>
      </c>
      <c r="I49" s="152">
        <f>IFERROR(G49/E49*100,"")</f>
        <v>63.446456265161125</v>
      </c>
    </row>
    <row r="50" spans="1:13" x14ac:dyDescent="0.25">
      <c r="A50" s="7"/>
      <c r="B50" s="6">
        <v>34</v>
      </c>
      <c r="C50" s="9" t="s">
        <v>124</v>
      </c>
      <c r="D50" s="146"/>
      <c r="E50" s="145">
        <v>195.29</v>
      </c>
      <c r="F50" s="145">
        <v>195.29</v>
      </c>
      <c r="G50" s="146">
        <v>0</v>
      </c>
      <c r="H50" s="152"/>
      <c r="I50" s="152"/>
    </row>
    <row r="51" spans="1:13" ht="25.5" x14ac:dyDescent="0.25">
      <c r="A51" s="7"/>
      <c r="B51" s="6">
        <v>36</v>
      </c>
      <c r="C51" s="24" t="s">
        <v>185</v>
      </c>
      <c r="D51" s="146"/>
      <c r="E51" s="145">
        <v>63454.8</v>
      </c>
      <c r="F51" s="145">
        <v>63454.8</v>
      </c>
      <c r="G51" s="146">
        <v>63454.8</v>
      </c>
      <c r="H51" s="152"/>
      <c r="I51" s="152"/>
    </row>
    <row r="52" spans="1:13" x14ac:dyDescent="0.25">
      <c r="A52" s="7"/>
      <c r="B52" s="6">
        <v>37</v>
      </c>
      <c r="C52" s="6" t="s">
        <v>136</v>
      </c>
      <c r="D52" s="146">
        <v>270</v>
      </c>
      <c r="E52" s="145"/>
      <c r="F52" s="145"/>
      <c r="G52" s="146"/>
      <c r="H52" s="152"/>
      <c r="I52" s="152" t="str">
        <f>IFERROR(G52/E52*100,"")</f>
        <v/>
      </c>
    </row>
    <row r="53" spans="1:13" x14ac:dyDescent="0.25">
      <c r="A53" s="7"/>
      <c r="B53" s="6">
        <v>38</v>
      </c>
      <c r="C53" s="6" t="s">
        <v>181</v>
      </c>
      <c r="D53" s="146"/>
      <c r="E53" s="145"/>
      <c r="F53" s="145"/>
      <c r="G53" s="146"/>
      <c r="H53" s="152"/>
      <c r="I53" s="152" t="str">
        <f>IFERROR(G53/E53*100,"")</f>
        <v/>
      </c>
    </row>
    <row r="54" spans="1:13" ht="25.5" x14ac:dyDescent="0.25">
      <c r="A54" s="155">
        <v>4</v>
      </c>
      <c r="B54" s="155"/>
      <c r="C54" s="156" t="s">
        <v>6</v>
      </c>
      <c r="D54" s="143">
        <f t="shared" ref="D54" si="31">SUM(D55)</f>
        <v>0</v>
      </c>
      <c r="E54" s="143">
        <f>SUM(E55:E56)</f>
        <v>1044455.02</v>
      </c>
      <c r="F54" s="143">
        <f>SUM(F55:F56)</f>
        <v>1044455.02</v>
      </c>
      <c r="G54" s="143">
        <f>SUM(G55:G56)</f>
        <v>787964.8</v>
      </c>
      <c r="H54" s="152"/>
      <c r="I54" s="152">
        <f>IFERROR(G54/E54*100,"")</f>
        <v>75.442674400664956</v>
      </c>
    </row>
    <row r="55" spans="1:13" ht="25.5" x14ac:dyDescent="0.25">
      <c r="A55" s="9"/>
      <c r="B55" s="9">
        <v>42</v>
      </c>
      <c r="C55" s="17" t="s">
        <v>146</v>
      </c>
      <c r="D55" s="146">
        <v>0</v>
      </c>
      <c r="E55" s="145">
        <v>264811.75</v>
      </c>
      <c r="F55" s="145">
        <v>264811.75</v>
      </c>
      <c r="G55" s="146">
        <v>8321.5300000000007</v>
      </c>
      <c r="H55" s="152"/>
      <c r="I55" s="152">
        <f>IFERROR(G55/E55*100,"")</f>
        <v>3.1424323127655778</v>
      </c>
      <c r="M55" s="55"/>
    </row>
    <row r="56" spans="1:13" ht="25.5" x14ac:dyDescent="0.25">
      <c r="A56" s="9"/>
      <c r="B56" s="9">
        <v>45</v>
      </c>
      <c r="C56" s="17" t="s">
        <v>188</v>
      </c>
      <c r="D56" s="146"/>
      <c r="E56" s="145">
        <v>779643.27</v>
      </c>
      <c r="F56" s="145">
        <v>779643.27</v>
      </c>
      <c r="G56" s="146">
        <v>779643.27</v>
      </c>
      <c r="H56" s="152"/>
      <c r="I56" s="152"/>
    </row>
    <row r="57" spans="1:13" ht="25.5" x14ac:dyDescent="0.25">
      <c r="A57" s="58"/>
      <c r="B57" s="58"/>
      <c r="C57" s="58" t="s">
        <v>239</v>
      </c>
      <c r="D57" s="141"/>
      <c r="E57" s="141">
        <f>E58+E61</f>
        <v>1372650.5699999998</v>
      </c>
      <c r="F57" s="141">
        <f>F58+F61</f>
        <v>1372650.5699999998</v>
      </c>
      <c r="G57" s="141">
        <f>G58+G61</f>
        <v>1372440.5699999998</v>
      </c>
      <c r="H57" s="157"/>
      <c r="I57" s="60">
        <f>IFERROR(G57/E57*100,"")</f>
        <v>99.984701131912985</v>
      </c>
    </row>
    <row r="58" spans="1:13" x14ac:dyDescent="0.25">
      <c r="A58" s="142">
        <v>3</v>
      </c>
      <c r="B58" s="142"/>
      <c r="C58" s="142" t="s">
        <v>4</v>
      </c>
      <c r="D58" s="88"/>
      <c r="E58" s="88">
        <f>SUM(E59:E60)</f>
        <v>114995.4</v>
      </c>
      <c r="F58" s="88">
        <f>SUM(F59:F60)</f>
        <v>114995.4</v>
      </c>
      <c r="G58" s="88">
        <f>SUM(G59:G60)</f>
        <v>114785.4</v>
      </c>
      <c r="H58" s="152"/>
      <c r="I58" s="144">
        <f>IFERROR(G58/E58*100,"")</f>
        <v>99.817383999707815</v>
      </c>
    </row>
    <row r="59" spans="1:13" x14ac:dyDescent="0.25">
      <c r="A59" s="142"/>
      <c r="B59" s="9">
        <v>31</v>
      </c>
      <c r="C59" s="9" t="s">
        <v>5</v>
      </c>
      <c r="D59" s="188"/>
      <c r="E59" s="188">
        <v>9552.64</v>
      </c>
      <c r="F59" s="188">
        <v>9552.64</v>
      </c>
      <c r="G59" s="188">
        <v>9552.64</v>
      </c>
      <c r="H59" s="152"/>
      <c r="I59" s="144">
        <f t="shared" ref="I59:I63" si="32">IFERROR(G59/E59*100,"")</f>
        <v>100</v>
      </c>
    </row>
    <row r="60" spans="1:13" x14ac:dyDescent="0.25">
      <c r="A60" s="9"/>
      <c r="B60" s="9">
        <v>32</v>
      </c>
      <c r="C60" s="6" t="s">
        <v>13</v>
      </c>
      <c r="D60" s="146"/>
      <c r="E60" s="145">
        <f>210+105232.76</f>
        <v>105442.76</v>
      </c>
      <c r="F60" s="145">
        <f>210+105232.76</f>
        <v>105442.76</v>
      </c>
      <c r="G60" s="146">
        <v>105232.76</v>
      </c>
      <c r="H60" s="152"/>
      <c r="I60" s="144">
        <f t="shared" si="32"/>
        <v>99.800839811097504</v>
      </c>
    </row>
    <row r="61" spans="1:13" ht="25.5" x14ac:dyDescent="0.25">
      <c r="A61" s="155">
        <v>4</v>
      </c>
      <c r="B61" s="155"/>
      <c r="C61" s="156" t="s">
        <v>6</v>
      </c>
      <c r="D61" s="143">
        <f t="shared" ref="D61" si="33">SUM(D63)</f>
        <v>0</v>
      </c>
      <c r="E61" s="143">
        <f>SUM(E62:E63)</f>
        <v>1257655.17</v>
      </c>
      <c r="F61" s="143">
        <f>SUM(F62:F63)</f>
        <v>1257655.17</v>
      </c>
      <c r="G61" s="143">
        <f>SUM(G62:G63)</f>
        <v>1257655.17</v>
      </c>
      <c r="H61" s="143"/>
      <c r="I61" s="144">
        <f t="shared" si="32"/>
        <v>100</v>
      </c>
    </row>
    <row r="62" spans="1:13" ht="25.5" x14ac:dyDescent="0.25">
      <c r="A62" s="8"/>
      <c r="B62" s="189">
        <v>41</v>
      </c>
      <c r="C62" s="190" t="s">
        <v>7</v>
      </c>
      <c r="D62" s="76"/>
      <c r="E62" s="76">
        <v>165000</v>
      </c>
      <c r="F62" s="76">
        <v>165000</v>
      </c>
      <c r="G62" s="76">
        <v>165000</v>
      </c>
      <c r="H62" s="78"/>
      <c r="I62" s="144">
        <f t="shared" si="32"/>
        <v>100</v>
      </c>
    </row>
    <row r="63" spans="1:13" ht="25.5" x14ac:dyDescent="0.25">
      <c r="A63" s="9"/>
      <c r="B63" s="9">
        <v>45</v>
      </c>
      <c r="C63" s="17" t="s">
        <v>188</v>
      </c>
      <c r="D63" s="146"/>
      <c r="E63" s="145">
        <v>1092655.17</v>
      </c>
      <c r="F63" s="145">
        <v>1092655.17</v>
      </c>
      <c r="G63" s="146">
        <v>1092655.17</v>
      </c>
      <c r="H63" s="152"/>
      <c r="I63" s="144">
        <f t="shared" si="32"/>
        <v>100</v>
      </c>
    </row>
    <row r="64" spans="1:13" x14ac:dyDescent="0.25">
      <c r="A64" s="58"/>
      <c r="B64" s="58"/>
      <c r="C64" s="58" t="s">
        <v>182</v>
      </c>
      <c r="D64" s="141">
        <f t="shared" ref="D64" si="34">D65+D67</f>
        <v>490345</v>
      </c>
      <c r="E64" s="141">
        <f>E65+E67</f>
        <v>0</v>
      </c>
      <c r="F64" s="141">
        <f>F65+F67</f>
        <v>0</v>
      </c>
      <c r="G64" s="141">
        <f t="shared" ref="G64" si="35">G65+G67</f>
        <v>0</v>
      </c>
      <c r="H64" s="60">
        <f t="shared" si="27"/>
        <v>0</v>
      </c>
      <c r="I64" s="157" t="str">
        <f t="shared" ref="I64:I71" si="36">IFERROR(G64/E64*100,"")</f>
        <v/>
      </c>
    </row>
    <row r="65" spans="1:9" x14ac:dyDescent="0.25">
      <c r="A65" s="142">
        <v>3</v>
      </c>
      <c r="B65" s="142"/>
      <c r="C65" s="142" t="s">
        <v>4</v>
      </c>
      <c r="D65" s="158">
        <f t="shared" ref="D65:G65" si="37">D66</f>
        <v>417345</v>
      </c>
      <c r="E65" s="158">
        <f>E66</f>
        <v>0</v>
      </c>
      <c r="F65" s="158">
        <f>F66</f>
        <v>0</v>
      </c>
      <c r="G65" s="158">
        <f t="shared" si="37"/>
        <v>0</v>
      </c>
      <c r="H65" s="152"/>
      <c r="I65" s="152" t="str">
        <f t="shared" si="36"/>
        <v/>
      </c>
    </row>
    <row r="66" spans="1:9" x14ac:dyDescent="0.25">
      <c r="A66" s="7"/>
      <c r="B66" s="6">
        <v>32</v>
      </c>
      <c r="C66" s="6" t="s">
        <v>13</v>
      </c>
      <c r="D66" s="146">
        <v>417345</v>
      </c>
      <c r="E66" s="145"/>
      <c r="F66" s="145"/>
      <c r="G66" s="146"/>
      <c r="H66" s="152"/>
      <c r="I66" s="152" t="str">
        <f t="shared" si="36"/>
        <v/>
      </c>
    </row>
    <row r="67" spans="1:9" ht="25.5" x14ac:dyDescent="0.25">
      <c r="A67" s="155">
        <v>4</v>
      </c>
      <c r="B67" s="155"/>
      <c r="C67" s="156" t="s">
        <v>6</v>
      </c>
      <c r="D67" s="143">
        <f t="shared" ref="D67:G67" si="38">SUM(D68)</f>
        <v>73000</v>
      </c>
      <c r="E67" s="143">
        <f>SUM(E68)</f>
        <v>0</v>
      </c>
      <c r="F67" s="143">
        <f>SUM(F68)</f>
        <v>0</v>
      </c>
      <c r="G67" s="143">
        <f t="shared" si="38"/>
        <v>0</v>
      </c>
      <c r="H67" s="152"/>
      <c r="I67" s="152" t="str">
        <f t="shared" si="36"/>
        <v/>
      </c>
    </row>
    <row r="68" spans="1:9" ht="25.5" x14ac:dyDescent="0.25">
      <c r="A68" s="9"/>
      <c r="B68" s="9">
        <v>42</v>
      </c>
      <c r="C68" s="17" t="s">
        <v>146</v>
      </c>
      <c r="D68" s="146">
        <v>73000</v>
      </c>
      <c r="E68" s="145"/>
      <c r="F68" s="145"/>
      <c r="G68" s="146"/>
      <c r="H68" s="152"/>
      <c r="I68" s="152" t="str">
        <f t="shared" si="36"/>
        <v/>
      </c>
    </row>
    <row r="69" spans="1:9" x14ac:dyDescent="0.25">
      <c r="A69" s="58"/>
      <c r="B69" s="58"/>
      <c r="C69" s="58" t="s">
        <v>171</v>
      </c>
      <c r="D69" s="59">
        <f>D70+D74</f>
        <v>29567.11</v>
      </c>
      <c r="E69" s="141">
        <f>E70+E74</f>
        <v>50002.119999999995</v>
      </c>
      <c r="F69" s="141">
        <f>F70+F74</f>
        <v>50002.119999999995</v>
      </c>
      <c r="G69" s="141">
        <f>G70+G74</f>
        <v>46606.84</v>
      </c>
      <c r="H69" s="60">
        <f t="shared" si="27"/>
        <v>157.63069167057583</v>
      </c>
      <c r="I69" s="157">
        <f t="shared" si="36"/>
        <v>93.209727907536717</v>
      </c>
    </row>
    <row r="70" spans="1:9" x14ac:dyDescent="0.25">
      <c r="A70" s="142">
        <v>3</v>
      </c>
      <c r="B70" s="142"/>
      <c r="C70" s="142" t="s">
        <v>4</v>
      </c>
      <c r="D70" s="143">
        <f t="shared" ref="D70" si="39">SUM(D71:D73)</f>
        <v>29567.11</v>
      </c>
      <c r="E70" s="143">
        <f>SUM(E71:E73)</f>
        <v>50002.119999999995</v>
      </c>
      <c r="F70" s="143">
        <f>SUM(F71:F73)</f>
        <v>50002.119999999995</v>
      </c>
      <c r="G70" s="143">
        <f t="shared" ref="G70" si="40">SUM(G71:G73)</f>
        <v>46606.84</v>
      </c>
      <c r="H70" s="144">
        <f>G70/D70*100</f>
        <v>157.63069167057583</v>
      </c>
      <c r="I70" s="152">
        <f t="shared" si="36"/>
        <v>93.209727907536717</v>
      </c>
    </row>
    <row r="71" spans="1:9" x14ac:dyDescent="0.25">
      <c r="A71" s="5"/>
      <c r="B71" s="9">
        <v>31</v>
      </c>
      <c r="C71" s="9" t="s">
        <v>5</v>
      </c>
      <c r="D71" s="77">
        <v>28691.22</v>
      </c>
      <c r="E71" s="76">
        <v>33500</v>
      </c>
      <c r="F71" s="76">
        <v>33500</v>
      </c>
      <c r="G71" s="77">
        <v>28271.279999999999</v>
      </c>
      <c r="H71" s="144">
        <f t="shared" si="27"/>
        <v>98.536346659361286</v>
      </c>
      <c r="I71" s="152">
        <f t="shared" si="36"/>
        <v>84.391880597014918</v>
      </c>
    </row>
    <row r="72" spans="1:9" x14ac:dyDescent="0.25">
      <c r="A72" s="5"/>
      <c r="B72" s="9">
        <v>32</v>
      </c>
      <c r="C72" s="9" t="s">
        <v>13</v>
      </c>
      <c r="D72" s="77">
        <v>572.11</v>
      </c>
      <c r="E72" s="76">
        <v>16502.12</v>
      </c>
      <c r="F72" s="76">
        <v>16502.12</v>
      </c>
      <c r="G72" s="77"/>
      <c r="H72" s="144">
        <f t="shared" si="27"/>
        <v>0</v>
      </c>
      <c r="I72" s="152">
        <f t="shared" ref="I72:I73" si="41">IFERROR(G72/E72*100,"")</f>
        <v>0</v>
      </c>
    </row>
    <row r="73" spans="1:9" x14ac:dyDescent="0.25">
      <c r="A73" s="5"/>
      <c r="B73" s="9">
        <v>34</v>
      </c>
      <c r="C73" s="9" t="s">
        <v>124</v>
      </c>
      <c r="D73" s="77">
        <v>303.77999999999997</v>
      </c>
      <c r="E73" s="76"/>
      <c r="F73" s="76"/>
      <c r="G73" s="77">
        <v>18335.560000000001</v>
      </c>
      <c r="H73" s="144">
        <f t="shared" si="27"/>
        <v>6035.8022252946221</v>
      </c>
      <c r="I73" s="152" t="str">
        <f t="shared" si="41"/>
        <v/>
      </c>
    </row>
    <row r="74" spans="1:9" ht="25.5" x14ac:dyDescent="0.25">
      <c r="A74" s="150">
        <v>4</v>
      </c>
      <c r="B74" s="96"/>
      <c r="C74" s="150" t="s">
        <v>6</v>
      </c>
      <c r="D74" s="159"/>
      <c r="E74" s="154"/>
      <c r="F74" s="154"/>
      <c r="G74" s="159"/>
      <c r="H74" s="160"/>
      <c r="I74" s="152" t="str">
        <f t="shared" ref="I74:I85" si="42">IFERROR(G74/E74*100,"")</f>
        <v/>
      </c>
    </row>
    <row r="75" spans="1:9" x14ac:dyDescent="0.25">
      <c r="A75" s="7"/>
      <c r="B75" s="6">
        <v>42</v>
      </c>
      <c r="C75" s="6" t="s">
        <v>146</v>
      </c>
      <c r="D75" s="146"/>
      <c r="E75" s="145"/>
      <c r="F75" s="145"/>
      <c r="G75" s="146"/>
      <c r="H75" s="152" t="str">
        <f t="shared" si="27"/>
        <v/>
      </c>
      <c r="I75" s="152" t="str">
        <f t="shared" si="42"/>
        <v/>
      </c>
    </row>
    <row r="76" spans="1:9" x14ac:dyDescent="0.25">
      <c r="A76" s="161"/>
      <c r="B76" s="161"/>
      <c r="C76" s="162" t="s">
        <v>183</v>
      </c>
      <c r="D76" s="163">
        <f t="shared" ref="D76" si="43">D77+D79</f>
        <v>37768.050000000003</v>
      </c>
      <c r="E76" s="163">
        <f>E77+E79</f>
        <v>53918.73</v>
      </c>
      <c r="F76" s="163">
        <f>F77+F79</f>
        <v>53918.73</v>
      </c>
      <c r="G76" s="163">
        <f t="shared" ref="G76" si="44">G77+G79</f>
        <v>27921.599999999999</v>
      </c>
      <c r="H76" s="164">
        <f t="shared" si="27"/>
        <v>73.929154404317927</v>
      </c>
      <c r="I76" s="157">
        <f t="shared" si="42"/>
        <v>51.78460249341925</v>
      </c>
    </row>
    <row r="77" spans="1:9" x14ac:dyDescent="0.25">
      <c r="A77" s="142">
        <v>3</v>
      </c>
      <c r="B77" s="142"/>
      <c r="C77" s="142" t="s">
        <v>4</v>
      </c>
      <c r="D77" s="143">
        <f t="shared" ref="D77:G77" si="45">D78</f>
        <v>35575.39</v>
      </c>
      <c r="E77" s="143">
        <f>E78</f>
        <v>53918.73</v>
      </c>
      <c r="F77" s="143">
        <f>F78</f>
        <v>53918.73</v>
      </c>
      <c r="G77" s="143">
        <f t="shared" si="45"/>
        <v>27921.599999999999</v>
      </c>
      <c r="H77" s="144">
        <f t="shared" si="27"/>
        <v>78.485717233177198</v>
      </c>
      <c r="I77" s="152">
        <f t="shared" si="42"/>
        <v>51.78460249341925</v>
      </c>
    </row>
    <row r="78" spans="1:9" x14ac:dyDescent="0.25">
      <c r="A78" s="7"/>
      <c r="B78" s="6">
        <v>32</v>
      </c>
      <c r="C78" s="6" t="s">
        <v>13</v>
      </c>
      <c r="D78" s="146">
        <v>35575.39</v>
      </c>
      <c r="E78" s="145">
        <v>53918.73</v>
      </c>
      <c r="F78" s="145">
        <v>53918.73</v>
      </c>
      <c r="G78" s="146">
        <v>27921.599999999999</v>
      </c>
      <c r="H78" s="152">
        <f t="shared" si="27"/>
        <v>78.485717233177198</v>
      </c>
      <c r="I78" s="152">
        <f t="shared" si="42"/>
        <v>51.78460249341925</v>
      </c>
    </row>
    <row r="79" spans="1:9" ht="25.5" x14ac:dyDescent="0.25">
      <c r="A79" s="150">
        <v>4</v>
      </c>
      <c r="B79" s="96"/>
      <c r="C79" s="150" t="s">
        <v>6</v>
      </c>
      <c r="D79" s="158">
        <f t="shared" ref="D79:G79" si="46">SUM(D80)</f>
        <v>2192.66</v>
      </c>
      <c r="E79" s="158">
        <f>SUM(E80)</f>
        <v>0</v>
      </c>
      <c r="F79" s="158">
        <f>SUM(F80)</f>
        <v>0</v>
      </c>
      <c r="G79" s="158">
        <f t="shared" si="46"/>
        <v>0</v>
      </c>
      <c r="H79" s="152"/>
      <c r="I79" s="152" t="str">
        <f t="shared" si="42"/>
        <v/>
      </c>
    </row>
    <row r="80" spans="1:9" x14ac:dyDescent="0.25">
      <c r="A80" s="7"/>
      <c r="B80" s="6">
        <v>42</v>
      </c>
      <c r="C80" s="6" t="s">
        <v>146</v>
      </c>
      <c r="D80" s="146">
        <v>2192.66</v>
      </c>
      <c r="E80" s="145"/>
      <c r="F80" s="145"/>
      <c r="G80" s="146"/>
      <c r="H80" s="152"/>
      <c r="I80" s="152" t="str">
        <f t="shared" si="42"/>
        <v/>
      </c>
    </row>
    <row r="81" spans="1:9" ht="25.5" x14ac:dyDescent="0.25">
      <c r="A81" s="58"/>
      <c r="B81" s="58"/>
      <c r="C81" s="153" t="s">
        <v>184</v>
      </c>
      <c r="D81" s="141">
        <f t="shared" ref="D81" si="47">D82+D85</f>
        <v>247174.26</v>
      </c>
      <c r="E81" s="141">
        <f>E82+E85</f>
        <v>867104.8</v>
      </c>
      <c r="F81" s="141">
        <f>F82+F85</f>
        <v>867104.8</v>
      </c>
      <c r="G81" s="141">
        <f>G82+G85</f>
        <v>874453.51</v>
      </c>
      <c r="H81" s="60">
        <f t="shared" si="27"/>
        <v>353.78016707726766</v>
      </c>
      <c r="I81" s="157">
        <f t="shared" si="42"/>
        <v>100.84749963326232</v>
      </c>
    </row>
    <row r="82" spans="1:9" x14ac:dyDescent="0.25">
      <c r="A82" s="142">
        <v>3</v>
      </c>
      <c r="B82" s="142"/>
      <c r="C82" s="142" t="s">
        <v>4</v>
      </c>
      <c r="D82" s="88">
        <f>SUM(D83:D84)</f>
        <v>247174.26</v>
      </c>
      <c r="E82" s="88">
        <f t="shared" ref="E82" si="48">SUM(E83:E84)</f>
        <v>242662.82</v>
      </c>
      <c r="F82" s="88">
        <f t="shared" ref="F82" si="49">SUM(F83:F84)</f>
        <v>242662.82</v>
      </c>
      <c r="G82" s="88">
        <f>SUM(G83:G84)</f>
        <v>250011.53</v>
      </c>
      <c r="H82" s="144">
        <f t="shared" si="27"/>
        <v>101.14788246963901</v>
      </c>
      <c r="I82" s="152">
        <f t="shared" si="42"/>
        <v>103.02836256497802</v>
      </c>
    </row>
    <row r="83" spans="1:9" x14ac:dyDescent="0.25">
      <c r="A83" s="7"/>
      <c r="B83" s="6">
        <v>32</v>
      </c>
      <c r="C83" s="6" t="s">
        <v>13</v>
      </c>
      <c r="D83" s="146">
        <v>245847.03</v>
      </c>
      <c r="E83" s="145">
        <v>241462.82</v>
      </c>
      <c r="F83" s="145">
        <v>241462.82</v>
      </c>
      <c r="G83" s="146">
        <v>248811.53</v>
      </c>
      <c r="H83" s="152">
        <f t="shared" si="27"/>
        <v>101.20583112189723</v>
      </c>
      <c r="I83" s="152">
        <f t="shared" si="42"/>
        <v>103.04341264630305</v>
      </c>
    </row>
    <row r="84" spans="1:9" x14ac:dyDescent="0.25">
      <c r="A84" s="7"/>
      <c r="B84" s="6">
        <v>34</v>
      </c>
      <c r="C84" s="6" t="s">
        <v>124</v>
      </c>
      <c r="D84" s="146">
        <v>1327.23</v>
      </c>
      <c r="E84" s="145">
        <v>1200</v>
      </c>
      <c r="F84" s="145">
        <v>1200</v>
      </c>
      <c r="G84" s="146">
        <v>1200</v>
      </c>
      <c r="H84" s="152">
        <f t="shared" si="27"/>
        <v>90.41386948757939</v>
      </c>
      <c r="I84" s="152">
        <f t="shared" si="42"/>
        <v>100</v>
      </c>
    </row>
    <row r="85" spans="1:9" x14ac:dyDescent="0.25">
      <c r="A85" s="94">
        <v>4</v>
      </c>
      <c r="B85" s="93"/>
      <c r="C85" s="94" t="s">
        <v>6</v>
      </c>
      <c r="D85" s="166">
        <f>SUM(D86:D87)</f>
        <v>0</v>
      </c>
      <c r="E85" s="166">
        <f>SUM(E86:E87)</f>
        <v>624441.98</v>
      </c>
      <c r="F85" s="166">
        <f>SUM(F86:F87)</f>
        <v>624441.98</v>
      </c>
      <c r="G85" s="166">
        <f t="shared" ref="G85" si="50">SUM(G86:G87)</f>
        <v>624441.98</v>
      </c>
      <c r="H85" s="167"/>
      <c r="I85" s="152">
        <f t="shared" si="42"/>
        <v>100</v>
      </c>
    </row>
    <row r="86" spans="1:9" x14ac:dyDescent="0.25">
      <c r="A86" s="7"/>
      <c r="B86" s="6">
        <v>42</v>
      </c>
      <c r="C86" s="6" t="s">
        <v>146</v>
      </c>
      <c r="D86" s="146"/>
      <c r="E86" s="145"/>
      <c r="F86" s="145"/>
      <c r="G86" s="146"/>
      <c r="H86" s="152"/>
      <c r="I86" s="152" t="str">
        <f t="shared" ref="I86:I87" si="51">IFERROR(G86/E86*100,"")</f>
        <v/>
      </c>
    </row>
    <row r="87" spans="1:9" ht="25.5" x14ac:dyDescent="0.25">
      <c r="A87" s="7"/>
      <c r="B87" s="9">
        <v>45</v>
      </c>
      <c r="C87" s="17" t="s">
        <v>188</v>
      </c>
      <c r="D87" s="146"/>
      <c r="E87" s="145">
        <v>624441.98</v>
      </c>
      <c r="F87" s="145">
        <v>624441.98</v>
      </c>
      <c r="G87" s="145">
        <v>624441.98</v>
      </c>
      <c r="H87" s="152"/>
      <c r="I87" s="152">
        <f t="shared" si="51"/>
        <v>100</v>
      </c>
    </row>
    <row r="88" spans="1:9" ht="25.5" x14ac:dyDescent="0.25">
      <c r="A88" s="58"/>
      <c r="B88" s="58"/>
      <c r="C88" s="153" t="s">
        <v>240</v>
      </c>
      <c r="D88" s="141"/>
      <c r="E88" s="141">
        <f>E89</f>
        <v>264704.03999999998</v>
      </c>
      <c r="F88" s="141">
        <f>F89</f>
        <v>264704.03999999998</v>
      </c>
      <c r="G88" s="141">
        <f>G89</f>
        <v>264704.03999999998</v>
      </c>
      <c r="H88" s="60" t="str">
        <f t="shared" ref="H88" si="52">IFERROR(G88/D88*100,"")</f>
        <v/>
      </c>
      <c r="I88" s="157">
        <f t="shared" ref="I88:I119" si="53">IFERROR(G88/E88*100,"")</f>
        <v>100</v>
      </c>
    </row>
    <row r="89" spans="1:9" x14ac:dyDescent="0.25">
      <c r="A89" s="94">
        <v>4</v>
      </c>
      <c r="B89" s="93"/>
      <c r="C89" s="94" t="s">
        <v>6</v>
      </c>
      <c r="D89" s="166"/>
      <c r="E89" s="166">
        <f>E90</f>
        <v>264704.03999999998</v>
      </c>
      <c r="F89" s="166">
        <f>F90</f>
        <v>264704.03999999998</v>
      </c>
      <c r="G89" s="166">
        <f t="shared" ref="G89" si="54">SUM(G90:G91)</f>
        <v>264704.03999999998</v>
      </c>
      <c r="H89" s="167"/>
      <c r="I89" s="152">
        <f t="shared" si="53"/>
        <v>100</v>
      </c>
    </row>
    <row r="90" spans="1:9" ht="25.5" x14ac:dyDescent="0.25">
      <c r="A90" s="7"/>
      <c r="B90" s="9">
        <v>45</v>
      </c>
      <c r="C90" s="17" t="s">
        <v>188</v>
      </c>
      <c r="D90" s="146"/>
      <c r="E90" s="145">
        <v>264704.03999999998</v>
      </c>
      <c r="F90" s="145">
        <v>264704.03999999998</v>
      </c>
      <c r="G90" s="146">
        <v>264704.03999999998</v>
      </c>
      <c r="H90" s="152"/>
      <c r="I90" s="152">
        <f t="shared" si="53"/>
        <v>100</v>
      </c>
    </row>
    <row r="91" spans="1:9" x14ac:dyDescent="0.25">
      <c r="A91" s="58"/>
      <c r="B91" s="58"/>
      <c r="C91" s="153" t="s">
        <v>173</v>
      </c>
      <c r="D91" s="141">
        <f t="shared" ref="D91" si="55">D92</f>
        <v>2932.4</v>
      </c>
      <c r="E91" s="141">
        <f>E92</f>
        <v>14305</v>
      </c>
      <c r="F91" s="141">
        <f>F92</f>
        <v>14305</v>
      </c>
      <c r="G91" s="141">
        <f t="shared" ref="G91" si="56">G92</f>
        <v>0</v>
      </c>
      <c r="H91" s="60">
        <f>IFERROR(G91/D91*100,"")</f>
        <v>0</v>
      </c>
      <c r="I91" s="157">
        <f t="shared" si="53"/>
        <v>0</v>
      </c>
    </row>
    <row r="92" spans="1:9" x14ac:dyDescent="0.25">
      <c r="A92" s="142">
        <v>3</v>
      </c>
      <c r="B92" s="142"/>
      <c r="C92" s="142" t="s">
        <v>4</v>
      </c>
      <c r="D92" s="143">
        <f t="shared" ref="D92" si="57">SUM(D93:D94)</f>
        <v>2932.4</v>
      </c>
      <c r="E92" s="143">
        <f>SUM(E93:E94)</f>
        <v>14305</v>
      </c>
      <c r="F92" s="143">
        <f>SUM(F93:F94)</f>
        <v>14305</v>
      </c>
      <c r="G92" s="143">
        <f t="shared" ref="G92" si="58">SUM(G93:G94)</f>
        <v>0</v>
      </c>
      <c r="H92" s="144">
        <f>IFERROR(G92/D92*100,"")</f>
        <v>0</v>
      </c>
      <c r="I92" s="152">
        <f t="shared" si="53"/>
        <v>0</v>
      </c>
    </row>
    <row r="93" spans="1:9" x14ac:dyDescent="0.25">
      <c r="A93" s="7"/>
      <c r="B93" s="6">
        <v>31</v>
      </c>
      <c r="C93" s="6" t="s">
        <v>5</v>
      </c>
      <c r="D93" s="146"/>
      <c r="E93" s="145"/>
      <c r="F93" s="145"/>
      <c r="G93" s="146"/>
      <c r="H93" s="152" t="str">
        <f>IFERROR(G93/D93*100,"")</f>
        <v/>
      </c>
      <c r="I93" s="152" t="str">
        <f t="shared" si="53"/>
        <v/>
      </c>
    </row>
    <row r="94" spans="1:9" x14ac:dyDescent="0.25">
      <c r="A94" s="7"/>
      <c r="B94" s="6">
        <v>32</v>
      </c>
      <c r="C94" s="6" t="s">
        <v>13</v>
      </c>
      <c r="D94" s="146">
        <v>2932.4</v>
      </c>
      <c r="E94" s="145">
        <v>14305</v>
      </c>
      <c r="F94" s="145">
        <v>14305</v>
      </c>
      <c r="G94" s="146"/>
      <c r="H94" s="152">
        <f>IFERROR(G94/D94*100,"")</f>
        <v>0</v>
      </c>
      <c r="I94" s="152">
        <f t="shared" si="53"/>
        <v>0</v>
      </c>
    </row>
    <row r="95" spans="1:9" ht="25.5" x14ac:dyDescent="0.25">
      <c r="A95" s="58"/>
      <c r="B95" s="58"/>
      <c r="C95" s="153" t="s">
        <v>242</v>
      </c>
      <c r="D95" s="141">
        <f>D96</f>
        <v>0</v>
      </c>
      <c r="E95" s="141">
        <f>E96</f>
        <v>16897.62</v>
      </c>
      <c r="F95" s="141">
        <f>F96</f>
        <v>16897.62</v>
      </c>
      <c r="G95" s="141">
        <f>G96</f>
        <v>16897.62</v>
      </c>
      <c r="H95" s="60" t="str">
        <f>IFERROR(G95/D95*100,"")</f>
        <v/>
      </c>
      <c r="I95" s="157">
        <f t="shared" si="53"/>
        <v>100</v>
      </c>
    </row>
    <row r="96" spans="1:9" x14ac:dyDescent="0.25">
      <c r="A96" s="142">
        <v>3</v>
      </c>
      <c r="B96" s="142"/>
      <c r="C96" s="142" t="s">
        <v>4</v>
      </c>
      <c r="D96" s="143"/>
      <c r="E96" s="143">
        <f>SUM(E97)</f>
        <v>16897.62</v>
      </c>
      <c r="F96" s="143">
        <f>SUM(F97)</f>
        <v>16897.62</v>
      </c>
      <c r="G96" s="143">
        <f t="shared" ref="G96:H96" si="59">SUM(G97)</f>
        <v>16897.62</v>
      </c>
      <c r="H96" s="143">
        <f t="shared" si="59"/>
        <v>0</v>
      </c>
      <c r="I96" s="152">
        <f t="shared" si="53"/>
        <v>100</v>
      </c>
    </row>
    <row r="97" spans="1:9" x14ac:dyDescent="0.25">
      <c r="A97" s="7"/>
      <c r="B97" s="6">
        <v>32</v>
      </c>
      <c r="C97" s="6" t="s">
        <v>13</v>
      </c>
      <c r="D97" s="146"/>
      <c r="E97" s="145">
        <v>16897.62</v>
      </c>
      <c r="F97" s="145">
        <v>16897.62</v>
      </c>
      <c r="G97" s="146">
        <v>16897.62</v>
      </c>
      <c r="H97" s="152"/>
      <c r="I97" s="152">
        <f t="shared" si="53"/>
        <v>100</v>
      </c>
    </row>
    <row r="98" spans="1:9" x14ac:dyDescent="0.25">
      <c r="A98" s="58"/>
      <c r="B98" s="58"/>
      <c r="C98" s="153" t="s">
        <v>243</v>
      </c>
      <c r="D98" s="141">
        <f>D99</f>
        <v>0</v>
      </c>
      <c r="E98" s="141">
        <f>E99</f>
        <v>2468.0299999999997</v>
      </c>
      <c r="F98" s="141">
        <f>F99</f>
        <v>2468.0299999999997</v>
      </c>
      <c r="G98" s="141">
        <f>G99</f>
        <v>3545.58</v>
      </c>
      <c r="H98" s="60" t="str">
        <f>IFERROR(G98/D98*100,"")</f>
        <v/>
      </c>
      <c r="I98" s="157">
        <f t="shared" si="53"/>
        <v>143.66032827801934</v>
      </c>
    </row>
    <row r="99" spans="1:9" x14ac:dyDescent="0.25">
      <c r="A99" s="142">
        <v>3</v>
      </c>
      <c r="B99" s="142"/>
      <c r="C99" s="142" t="s">
        <v>4</v>
      </c>
      <c r="D99" s="158">
        <f>SUM(D100:D101)</f>
        <v>0</v>
      </c>
      <c r="E99" s="158">
        <f>SUM(E100:E101)</f>
        <v>2468.0299999999997</v>
      </c>
      <c r="F99" s="158">
        <f>SUM(F100:F101)</f>
        <v>2468.0299999999997</v>
      </c>
      <c r="G99" s="158">
        <f>SUM(G100:G101)</f>
        <v>3545.58</v>
      </c>
      <c r="H99" s="152"/>
      <c r="I99" s="152">
        <f t="shared" si="53"/>
        <v>143.66032827801934</v>
      </c>
    </row>
    <row r="100" spans="1:9" x14ac:dyDescent="0.25">
      <c r="A100" s="7"/>
      <c r="B100" s="6">
        <v>31</v>
      </c>
      <c r="C100" s="6" t="s">
        <v>5</v>
      </c>
      <c r="D100" s="145"/>
      <c r="E100" s="145">
        <v>2416.2399999999998</v>
      </c>
      <c r="F100" s="145">
        <v>2416.2399999999998</v>
      </c>
      <c r="G100" s="145">
        <v>3493.79</v>
      </c>
      <c r="H100" s="152"/>
      <c r="I100" s="152">
        <f t="shared" si="53"/>
        <v>144.59614938913353</v>
      </c>
    </row>
    <row r="101" spans="1:9" x14ac:dyDescent="0.25">
      <c r="A101" s="7"/>
      <c r="B101" s="6">
        <v>32</v>
      </c>
      <c r="C101" s="6" t="s">
        <v>13</v>
      </c>
      <c r="D101" s="145"/>
      <c r="E101" s="145">
        <v>51.79</v>
      </c>
      <c r="F101" s="145">
        <v>51.79</v>
      </c>
      <c r="G101" s="145">
        <v>51.79</v>
      </c>
      <c r="H101" s="152"/>
      <c r="I101" s="152">
        <f t="shared" si="53"/>
        <v>100</v>
      </c>
    </row>
    <row r="102" spans="1:9" x14ac:dyDescent="0.25">
      <c r="A102" s="58"/>
      <c r="B102" s="58"/>
      <c r="C102" s="153" t="s">
        <v>244</v>
      </c>
      <c r="D102" s="141">
        <f>D103</f>
        <v>39815.299999999996</v>
      </c>
      <c r="E102" s="141">
        <f>E103</f>
        <v>22927.73</v>
      </c>
      <c r="F102" s="141">
        <f>F103</f>
        <v>22927.73</v>
      </c>
      <c r="G102" s="141">
        <f>G103</f>
        <v>20091.600000000002</v>
      </c>
      <c r="H102" s="152">
        <f>G102/D102*100</f>
        <v>50.462008323433459</v>
      </c>
      <c r="I102" s="157">
        <f t="shared" si="53"/>
        <v>87.63013172259096</v>
      </c>
    </row>
    <row r="103" spans="1:9" x14ac:dyDescent="0.25">
      <c r="A103" s="142">
        <v>3</v>
      </c>
      <c r="B103" s="142"/>
      <c r="C103" s="142" t="s">
        <v>4</v>
      </c>
      <c r="D103" s="158">
        <f>SUM(D104:D105)</f>
        <v>39815.299999999996</v>
      </c>
      <c r="E103" s="158">
        <f>SUM(E104:E105)</f>
        <v>22927.73</v>
      </c>
      <c r="F103" s="158">
        <f>SUM(F104:F105)</f>
        <v>22927.73</v>
      </c>
      <c r="G103" s="158">
        <f>SUM(G104:G105)</f>
        <v>20091.600000000002</v>
      </c>
      <c r="H103" s="152">
        <f>G103/D103*100</f>
        <v>50.462008323433459</v>
      </c>
      <c r="I103" s="152">
        <f t="shared" si="53"/>
        <v>87.63013172259096</v>
      </c>
    </row>
    <row r="104" spans="1:9" x14ac:dyDescent="0.25">
      <c r="A104" s="7"/>
      <c r="B104" s="6">
        <v>31</v>
      </c>
      <c r="C104" s="6" t="s">
        <v>5</v>
      </c>
      <c r="D104" s="145">
        <f>27081.8+10327.46</f>
        <v>37409.259999999995</v>
      </c>
      <c r="E104" s="145">
        <f>8942.32+13691.92</f>
        <v>22634.239999999998</v>
      </c>
      <c r="F104" s="145">
        <f>8942.32+13691.92</f>
        <v>22634.239999999998</v>
      </c>
      <c r="G104" s="145">
        <f>23291.9-3493.79</f>
        <v>19798.11</v>
      </c>
      <c r="H104" s="152">
        <f t="shared" ref="H104:H105" si="60">G104/D104*100</f>
        <v>52.923019594613748</v>
      </c>
      <c r="I104" s="152">
        <f t="shared" si="53"/>
        <v>87.469736116609184</v>
      </c>
    </row>
    <row r="105" spans="1:9" x14ac:dyDescent="0.25">
      <c r="A105" s="7"/>
      <c r="B105" s="6">
        <v>32</v>
      </c>
      <c r="C105" s="6" t="s">
        <v>13</v>
      </c>
      <c r="D105" s="145">
        <f>2406.04</f>
        <v>2406.04</v>
      </c>
      <c r="E105" s="145">
        <v>293.49</v>
      </c>
      <c r="F105" s="145">
        <v>293.49</v>
      </c>
      <c r="G105" s="145">
        <v>293.49</v>
      </c>
      <c r="H105" s="152">
        <f t="shared" si="60"/>
        <v>12.198051570214959</v>
      </c>
      <c r="I105" s="152">
        <f t="shared" si="53"/>
        <v>100</v>
      </c>
    </row>
    <row r="106" spans="1:9" x14ac:dyDescent="0.25">
      <c r="A106" s="58"/>
      <c r="B106" s="58"/>
      <c r="C106" s="153" t="s">
        <v>241</v>
      </c>
      <c r="D106" s="141">
        <f>D107</f>
        <v>0</v>
      </c>
      <c r="E106" s="141">
        <f>E107</f>
        <v>13877.51</v>
      </c>
      <c r="F106" s="141">
        <f>F107</f>
        <v>13877.51</v>
      </c>
      <c r="G106" s="141">
        <f>G107</f>
        <v>13877.51</v>
      </c>
      <c r="H106" s="60" t="str">
        <f>IFERROR(G106/D106*100,"")</f>
        <v/>
      </c>
      <c r="I106" s="157">
        <f t="shared" si="53"/>
        <v>100</v>
      </c>
    </row>
    <row r="107" spans="1:9" x14ac:dyDescent="0.25">
      <c r="A107" s="142">
        <v>3</v>
      </c>
      <c r="B107" s="142"/>
      <c r="C107" s="142" t="s">
        <v>4</v>
      </c>
      <c r="D107" s="158"/>
      <c r="E107" s="158">
        <f>SUM(E108)</f>
        <v>13877.51</v>
      </c>
      <c r="F107" s="158">
        <f>SUM(F108)</f>
        <v>13877.51</v>
      </c>
      <c r="G107" s="158">
        <f>SUM(G108)</f>
        <v>13877.51</v>
      </c>
      <c r="H107" s="152"/>
      <c r="I107" s="152">
        <f t="shared" si="53"/>
        <v>100</v>
      </c>
    </row>
    <row r="108" spans="1:9" x14ac:dyDescent="0.25">
      <c r="A108" s="7"/>
      <c r="B108" s="6">
        <v>31</v>
      </c>
      <c r="C108" s="6" t="s">
        <v>5</v>
      </c>
      <c r="D108" s="145"/>
      <c r="E108" s="145">
        <v>13877.51</v>
      </c>
      <c r="F108" s="145">
        <v>13877.51</v>
      </c>
      <c r="G108" s="145">
        <v>13877.51</v>
      </c>
      <c r="H108" s="152"/>
      <c r="I108" s="152">
        <f t="shared" si="53"/>
        <v>100</v>
      </c>
    </row>
    <row r="109" spans="1:9" x14ac:dyDescent="0.25">
      <c r="A109" s="58"/>
      <c r="B109" s="58"/>
      <c r="C109" s="58" t="s">
        <v>175</v>
      </c>
      <c r="D109" s="59">
        <f>D110+D118</f>
        <v>2645805.5999999996</v>
      </c>
      <c r="E109" s="59">
        <f t="shared" ref="E109:F109" si="61">E110+E118</f>
        <v>4446193.29</v>
      </c>
      <c r="F109" s="59">
        <f t="shared" si="61"/>
        <v>4446193.29</v>
      </c>
      <c r="G109" s="59">
        <f>G110+G118</f>
        <v>2843021.72</v>
      </c>
      <c r="H109" s="60">
        <f t="shared" ref="H109:H119" si="62">IFERROR(G109/D109*100,"")</f>
        <v>107.45391573742231</v>
      </c>
      <c r="I109" s="157">
        <f t="shared" si="53"/>
        <v>63.942827820695136</v>
      </c>
    </row>
    <row r="110" spans="1:9" x14ac:dyDescent="0.25">
      <c r="A110" s="142">
        <v>3</v>
      </c>
      <c r="B110" s="142"/>
      <c r="C110" s="142" t="s">
        <v>4</v>
      </c>
      <c r="D110" s="88">
        <f>SUM(D111:D117)</f>
        <v>2329667.6499999994</v>
      </c>
      <c r="E110" s="88">
        <f t="shared" ref="E110" si="63">SUM(E111:E117)</f>
        <v>2782321.2800000003</v>
      </c>
      <c r="F110" s="88">
        <f t="shared" ref="F110" si="64">SUM(F111:F117)</f>
        <v>2782321.2800000003</v>
      </c>
      <c r="G110" s="88">
        <f>SUM(G111:G117)</f>
        <v>2839121.5300000003</v>
      </c>
      <c r="H110" s="144">
        <f t="shared" si="62"/>
        <v>121.86809264403018</v>
      </c>
      <c r="I110" s="152">
        <f t="shared" si="53"/>
        <v>102.04146984779558</v>
      </c>
    </row>
    <row r="111" spans="1:9" x14ac:dyDescent="0.25">
      <c r="A111" s="9"/>
      <c r="B111" s="9">
        <v>31</v>
      </c>
      <c r="C111" s="9" t="s">
        <v>5</v>
      </c>
      <c r="D111" s="146">
        <f>47820.39+530.89+2099184.26</f>
        <v>2147535.5399999996</v>
      </c>
      <c r="E111" s="145">
        <f>1028.22+2760000</f>
        <v>2761028.22</v>
      </c>
      <c r="F111" s="145">
        <f>1028.22+2760000</f>
        <v>2761028.22</v>
      </c>
      <c r="G111" s="146">
        <f>2818223.03+1028.22</f>
        <v>2819251.25</v>
      </c>
      <c r="H111" s="152">
        <f t="shared" si="62"/>
        <v>131.27844440702484</v>
      </c>
      <c r="I111" s="152">
        <f t="shared" si="53"/>
        <v>102.10874447346285</v>
      </c>
    </row>
    <row r="112" spans="1:9" x14ac:dyDescent="0.25">
      <c r="A112" s="7"/>
      <c r="B112" s="7">
        <v>32</v>
      </c>
      <c r="C112" s="6" t="s">
        <v>13</v>
      </c>
      <c r="D112" s="146">
        <f>104935.76+132.72+10054.84</f>
        <v>115123.31999999999</v>
      </c>
      <c r="E112" s="145">
        <f>1183.06+8500</f>
        <v>9683.06</v>
      </c>
      <c r="F112" s="145">
        <f>1183.06+8500</f>
        <v>9683.06</v>
      </c>
      <c r="G112" s="146">
        <v>7077.22</v>
      </c>
      <c r="H112" s="152">
        <f t="shared" si="62"/>
        <v>6.1475120766148859</v>
      </c>
      <c r="I112" s="152">
        <f t="shared" si="53"/>
        <v>73.088672382490657</v>
      </c>
    </row>
    <row r="113" spans="1:9" x14ac:dyDescent="0.25">
      <c r="A113" s="7"/>
      <c r="B113" s="6">
        <v>34</v>
      </c>
      <c r="C113" s="6" t="s">
        <v>124</v>
      </c>
      <c r="D113" s="146">
        <v>1530.59</v>
      </c>
      <c r="E113" s="145">
        <v>153.41</v>
      </c>
      <c r="F113" s="145">
        <v>153.41</v>
      </c>
      <c r="G113" s="146">
        <v>153.41</v>
      </c>
      <c r="H113" s="152">
        <f t="shared" si="62"/>
        <v>10.022932333283244</v>
      </c>
      <c r="I113" s="152">
        <f t="shared" si="53"/>
        <v>100</v>
      </c>
    </row>
    <row r="114" spans="1:9" x14ac:dyDescent="0.25">
      <c r="A114" s="7"/>
      <c r="B114" s="6">
        <v>35</v>
      </c>
      <c r="C114" s="6" t="s">
        <v>131</v>
      </c>
      <c r="D114" s="146">
        <f>5595.91</f>
        <v>5595.91</v>
      </c>
      <c r="E114" s="145"/>
      <c r="F114" s="145"/>
      <c r="G114" s="146">
        <v>1183.06</v>
      </c>
      <c r="H114" s="152">
        <f t="shared" si="62"/>
        <v>21.141512283078175</v>
      </c>
      <c r="I114" s="152" t="str">
        <f t="shared" si="53"/>
        <v/>
      </c>
    </row>
    <row r="115" spans="1:9" ht="25.5" x14ac:dyDescent="0.25">
      <c r="A115" s="7"/>
      <c r="B115" s="6">
        <v>36</v>
      </c>
      <c r="C115" s="24" t="s">
        <v>185</v>
      </c>
      <c r="D115" s="146">
        <f>46642.49</f>
        <v>46642.49</v>
      </c>
      <c r="E115" s="145">
        <v>7920.61</v>
      </c>
      <c r="F115" s="145">
        <v>7920.61</v>
      </c>
      <c r="G115" s="146">
        <v>7920.61</v>
      </c>
      <c r="H115" s="152">
        <f t="shared" si="62"/>
        <v>16.981533361533657</v>
      </c>
      <c r="I115" s="152">
        <f t="shared" si="53"/>
        <v>100</v>
      </c>
    </row>
    <row r="116" spans="1:9" x14ac:dyDescent="0.25">
      <c r="A116" s="7"/>
      <c r="B116" s="6">
        <v>37</v>
      </c>
      <c r="C116" s="6" t="s">
        <v>136</v>
      </c>
      <c r="D116" s="146"/>
      <c r="E116" s="145"/>
      <c r="F116" s="145"/>
      <c r="G116" s="146"/>
      <c r="H116" s="152" t="str">
        <f t="shared" si="62"/>
        <v/>
      </c>
      <c r="I116" s="152" t="str">
        <f t="shared" si="53"/>
        <v/>
      </c>
    </row>
    <row r="117" spans="1:9" x14ac:dyDescent="0.25">
      <c r="A117" s="7"/>
      <c r="B117" s="6">
        <v>38</v>
      </c>
      <c r="C117" s="6" t="s">
        <v>181</v>
      </c>
      <c r="D117" s="146">
        <f>13213.04+26.76</f>
        <v>13239.800000000001</v>
      </c>
      <c r="E117" s="145">
        <f>3481.98+54</f>
        <v>3535.98</v>
      </c>
      <c r="F117" s="145">
        <f>3481.98+54</f>
        <v>3535.98</v>
      </c>
      <c r="G117" s="146">
        <f>3481.98+54</f>
        <v>3535.98</v>
      </c>
      <c r="H117" s="152">
        <f t="shared" si="62"/>
        <v>26.707201015121072</v>
      </c>
      <c r="I117" s="152">
        <f t="shared" si="53"/>
        <v>100</v>
      </c>
    </row>
    <row r="118" spans="1:9" ht="25.5" x14ac:dyDescent="0.25">
      <c r="A118" s="155">
        <v>4</v>
      </c>
      <c r="B118" s="155"/>
      <c r="C118" s="156" t="s">
        <v>6</v>
      </c>
      <c r="D118" s="88">
        <f>SUM(D119:D120)</f>
        <v>316137.95</v>
      </c>
      <c r="E118" s="88">
        <f t="shared" ref="E118:G118" si="65">SUM(E119:E120)</f>
        <v>1663872.01</v>
      </c>
      <c r="F118" s="88">
        <f t="shared" si="65"/>
        <v>1663872.01</v>
      </c>
      <c r="G118" s="88">
        <f t="shared" si="65"/>
        <v>3900.19</v>
      </c>
      <c r="H118" s="152">
        <f t="shared" si="62"/>
        <v>1.2336987697933766</v>
      </c>
      <c r="I118" s="152">
        <f t="shared" si="53"/>
        <v>0.23440444797193263</v>
      </c>
    </row>
    <row r="119" spans="1:9" ht="25.5" x14ac:dyDescent="0.25">
      <c r="A119" s="8"/>
      <c r="B119" s="10">
        <v>42</v>
      </c>
      <c r="C119" s="17" t="s">
        <v>146</v>
      </c>
      <c r="D119" s="71">
        <f>314885.52+1252.43</f>
        <v>316137.95</v>
      </c>
      <c r="E119" s="76">
        <v>1587</v>
      </c>
      <c r="F119" s="76">
        <v>1587</v>
      </c>
      <c r="G119" s="71">
        <v>3900.19</v>
      </c>
      <c r="H119" s="152">
        <f t="shared" si="62"/>
        <v>1.2336987697933766</v>
      </c>
      <c r="I119" s="152">
        <f t="shared" si="53"/>
        <v>245.75866414618778</v>
      </c>
    </row>
    <row r="120" spans="1:9" ht="25.5" x14ac:dyDescent="0.25">
      <c r="A120" s="8"/>
      <c r="B120" s="9">
        <v>45</v>
      </c>
      <c r="C120" s="17" t="s">
        <v>188</v>
      </c>
      <c r="D120" s="71"/>
      <c r="E120" s="76">
        <v>1662285.01</v>
      </c>
      <c r="F120" s="76">
        <v>1662285.01</v>
      </c>
      <c r="G120" s="71"/>
      <c r="H120" s="152"/>
      <c r="I120" s="152"/>
    </row>
    <row r="121" spans="1:9" x14ac:dyDescent="0.25">
      <c r="A121" s="58"/>
      <c r="B121" s="58"/>
      <c r="C121" s="58" t="s">
        <v>186</v>
      </c>
      <c r="D121" s="59">
        <f>SUM(D122)</f>
        <v>15669.34</v>
      </c>
      <c r="E121" s="59">
        <f t="shared" ref="E121:G121" si="66">SUM(E122)</f>
        <v>1501.94</v>
      </c>
      <c r="F121" s="59">
        <f t="shared" si="66"/>
        <v>1501.94</v>
      </c>
      <c r="G121" s="59">
        <f t="shared" si="66"/>
        <v>1501.94</v>
      </c>
      <c r="H121" s="152">
        <f>IFERROR(G121/D121*100,"")</f>
        <v>9.5852154589791283</v>
      </c>
      <c r="I121" s="157">
        <f>IFERROR(G121/E121*100,"")</f>
        <v>100</v>
      </c>
    </row>
    <row r="122" spans="1:9" x14ac:dyDescent="0.25">
      <c r="A122" s="142">
        <v>3</v>
      </c>
      <c r="B122" s="142"/>
      <c r="C122" s="142" t="s">
        <v>4</v>
      </c>
      <c r="D122" s="168">
        <f>SUM(D124)</f>
        <v>15669.34</v>
      </c>
      <c r="E122" s="168">
        <f>SUM(E123:E124)</f>
        <v>1501.94</v>
      </c>
      <c r="F122" s="168">
        <f>SUM(F123:F124)</f>
        <v>1501.94</v>
      </c>
      <c r="G122" s="168">
        <f t="shared" ref="G122" si="67">SUM(G123:G124)</f>
        <v>1501.94</v>
      </c>
      <c r="H122" s="72">
        <f>G122/D122*100</f>
        <v>9.5852154589791283</v>
      </c>
      <c r="I122" s="152">
        <f>IFERROR(G122/E122*100,"")</f>
        <v>100</v>
      </c>
    </row>
    <row r="123" spans="1:9" x14ac:dyDescent="0.25">
      <c r="A123" s="142"/>
      <c r="B123" s="187">
        <v>31</v>
      </c>
      <c r="C123" s="6" t="s">
        <v>5</v>
      </c>
      <c r="D123" s="168"/>
      <c r="E123" s="71">
        <v>664</v>
      </c>
      <c r="F123" s="71">
        <v>664</v>
      </c>
      <c r="G123" s="71">
        <v>664</v>
      </c>
      <c r="H123" s="72"/>
      <c r="I123" s="152"/>
    </row>
    <row r="124" spans="1:9" x14ac:dyDescent="0.25">
      <c r="A124" s="7"/>
      <c r="B124" s="7">
        <v>32</v>
      </c>
      <c r="C124" s="6" t="s">
        <v>13</v>
      </c>
      <c r="D124" s="71">
        <v>15669.34</v>
      </c>
      <c r="E124" s="76">
        <v>837.94</v>
      </c>
      <c r="F124" s="76">
        <v>837.94</v>
      </c>
      <c r="G124" s="71">
        <v>837.94</v>
      </c>
      <c r="H124" s="72">
        <f t="shared" ref="H124" si="68">G124/D124*100</f>
        <v>5.3476406791862328</v>
      </c>
      <c r="I124" s="152">
        <f t="shared" ref="I124:I156" si="69">IFERROR(G124/E124*100,"")</f>
        <v>100</v>
      </c>
    </row>
    <row r="125" spans="1:9" x14ac:dyDescent="0.25">
      <c r="A125" s="169"/>
      <c r="B125" s="169"/>
      <c r="C125" s="170" t="s">
        <v>179</v>
      </c>
      <c r="D125" s="141">
        <f t="shared" ref="D125" si="70">D126+D134</f>
        <v>3852116.14</v>
      </c>
      <c r="E125" s="141">
        <f>E126+E134</f>
        <v>452714.53</v>
      </c>
      <c r="F125" s="141">
        <f>F126+F134</f>
        <v>452714.53</v>
      </c>
      <c r="G125" s="141">
        <f t="shared" ref="G125" si="71">G126+G134</f>
        <v>999977.4</v>
      </c>
      <c r="H125" s="60"/>
      <c r="I125" s="157">
        <f t="shared" si="69"/>
        <v>220.88475932062531</v>
      </c>
    </row>
    <row r="126" spans="1:9" x14ac:dyDescent="0.25">
      <c r="A126" s="171">
        <v>3</v>
      </c>
      <c r="B126" s="171"/>
      <c r="C126" s="172" t="s">
        <v>4</v>
      </c>
      <c r="D126" s="154">
        <f t="shared" ref="D126" si="72">SUM(D127:D133)</f>
        <v>1351985.69</v>
      </c>
      <c r="E126" s="154">
        <f>SUM(E127:E133)</f>
        <v>209399.24</v>
      </c>
      <c r="F126" s="154">
        <f>SUM(F127:F133)</f>
        <v>209399.24</v>
      </c>
      <c r="G126" s="154">
        <f t="shared" ref="G126" si="73">SUM(G127:G133)</f>
        <v>131546.53</v>
      </c>
      <c r="H126" s="160">
        <f>G126/D126*100</f>
        <v>9.7298759131097015</v>
      </c>
      <c r="I126" s="152">
        <f t="shared" si="69"/>
        <v>62.820920457973003</v>
      </c>
    </row>
    <row r="127" spans="1:9" x14ac:dyDescent="0.25">
      <c r="A127" s="9"/>
      <c r="B127" s="9">
        <v>31</v>
      </c>
      <c r="C127" s="9" t="s">
        <v>5</v>
      </c>
      <c r="D127" s="174">
        <f>270982.25</f>
        <v>270982.25</v>
      </c>
      <c r="E127" s="173">
        <f>5826.59</f>
        <v>5826.59</v>
      </c>
      <c r="F127" s="173">
        <f>5826.59</f>
        <v>5826.59</v>
      </c>
      <c r="G127" s="174">
        <v>5826.59</v>
      </c>
      <c r="H127" s="160">
        <f t="shared" ref="H127:H131" si="74">G127/D127*100</f>
        <v>2.1501740427647937</v>
      </c>
      <c r="I127" s="152">
        <f t="shared" si="69"/>
        <v>100</v>
      </c>
    </row>
    <row r="128" spans="1:9" x14ac:dyDescent="0.25">
      <c r="A128" s="9"/>
      <c r="B128" s="9">
        <v>32</v>
      </c>
      <c r="C128" s="17" t="s">
        <v>187</v>
      </c>
      <c r="D128" s="146">
        <f>594635.88+84677.99+30798.01</f>
        <v>710111.88</v>
      </c>
      <c r="E128" s="145">
        <f>17253.97+115000</f>
        <v>132253.97</v>
      </c>
      <c r="F128" s="145">
        <f>17253.97+115000</f>
        <v>132253.97</v>
      </c>
      <c r="G128" s="146">
        <f>1070.26+8250+45081</f>
        <v>54401.26</v>
      </c>
      <c r="H128" s="160">
        <f t="shared" si="74"/>
        <v>7.6609421039400161</v>
      </c>
      <c r="I128" s="152">
        <f t="shared" si="69"/>
        <v>41.133933446383502</v>
      </c>
    </row>
    <row r="129" spans="1:9" x14ac:dyDescent="0.25">
      <c r="A129" s="7"/>
      <c r="B129" s="6">
        <v>34</v>
      </c>
      <c r="C129" s="6" t="s">
        <v>124</v>
      </c>
      <c r="D129" s="146"/>
      <c r="E129" s="145"/>
      <c r="F129" s="145"/>
      <c r="G129" s="146"/>
      <c r="H129" s="160"/>
      <c r="I129" s="152" t="str">
        <f t="shared" si="69"/>
        <v/>
      </c>
    </row>
    <row r="130" spans="1:9" x14ac:dyDescent="0.25">
      <c r="A130" s="7"/>
      <c r="B130" s="6">
        <v>35</v>
      </c>
      <c r="C130" s="6" t="s">
        <v>131</v>
      </c>
      <c r="D130" s="146">
        <v>31710.13</v>
      </c>
      <c r="E130" s="145">
        <v>6704.02</v>
      </c>
      <c r="F130" s="145">
        <v>6704.02</v>
      </c>
      <c r="G130" s="146">
        <v>6704.02</v>
      </c>
      <c r="H130" s="160">
        <f t="shared" si="74"/>
        <v>21.141572109606617</v>
      </c>
      <c r="I130" s="152">
        <f t="shared" si="69"/>
        <v>100</v>
      </c>
    </row>
    <row r="131" spans="1:9" x14ac:dyDescent="0.25">
      <c r="A131" s="7"/>
      <c r="B131" s="6">
        <v>36</v>
      </c>
      <c r="C131" s="6" t="s">
        <v>185</v>
      </c>
      <c r="D131" s="146">
        <v>264307.53999999998</v>
      </c>
      <c r="E131" s="145">
        <v>44883.42</v>
      </c>
      <c r="F131" s="145">
        <v>44883.42</v>
      </c>
      <c r="G131" s="146">
        <v>44883.42</v>
      </c>
      <c r="H131" s="160">
        <f t="shared" si="74"/>
        <v>16.981513278054798</v>
      </c>
      <c r="I131" s="152">
        <f t="shared" si="69"/>
        <v>100</v>
      </c>
    </row>
    <row r="132" spans="1:9" x14ac:dyDescent="0.25">
      <c r="A132" s="7"/>
      <c r="B132" s="6">
        <v>37</v>
      </c>
      <c r="C132" s="6" t="s">
        <v>136</v>
      </c>
      <c r="D132" s="146"/>
      <c r="E132" s="145"/>
      <c r="F132" s="145"/>
      <c r="G132" s="146"/>
      <c r="H132" s="160"/>
      <c r="I132" s="152" t="str">
        <f t="shared" si="69"/>
        <v/>
      </c>
    </row>
    <row r="133" spans="1:9" x14ac:dyDescent="0.25">
      <c r="A133" s="7"/>
      <c r="B133" s="6">
        <v>38</v>
      </c>
      <c r="C133" s="6" t="s">
        <v>181</v>
      </c>
      <c r="D133" s="146">
        <v>74873.89</v>
      </c>
      <c r="E133" s="145">
        <v>19731.240000000002</v>
      </c>
      <c r="F133" s="145">
        <v>19731.240000000002</v>
      </c>
      <c r="G133" s="146">
        <v>19731.240000000002</v>
      </c>
      <c r="H133" s="152">
        <f t="shared" ref="H133:H146" si="75">IFERROR(G133/D133*100,"")</f>
        <v>26.352631070724392</v>
      </c>
      <c r="I133" s="152">
        <f t="shared" si="69"/>
        <v>100</v>
      </c>
    </row>
    <row r="134" spans="1:9" ht="25.5" x14ac:dyDescent="0.25">
      <c r="A134" s="155">
        <v>4</v>
      </c>
      <c r="B134" s="155"/>
      <c r="C134" s="156" t="s">
        <v>6</v>
      </c>
      <c r="D134" s="158">
        <f>SUM(D135:D136)</f>
        <v>2500130.4500000002</v>
      </c>
      <c r="E134" s="158">
        <f>SUM(E135:E136)</f>
        <v>243315.29</v>
      </c>
      <c r="F134" s="158">
        <f>SUM(F135:F136)</f>
        <v>243315.29</v>
      </c>
      <c r="G134" s="158">
        <f>SUM(G135:G136)</f>
        <v>868430.87</v>
      </c>
      <c r="H134" s="152">
        <f t="shared" si="75"/>
        <v>34.735422305664088</v>
      </c>
      <c r="I134" s="152">
        <f t="shared" si="69"/>
        <v>356.91586418592925</v>
      </c>
    </row>
    <row r="135" spans="1:9" ht="25.5" x14ac:dyDescent="0.25">
      <c r="A135" s="8"/>
      <c r="B135" s="10">
        <v>42</v>
      </c>
      <c r="C135" s="17" t="s">
        <v>146</v>
      </c>
      <c r="D135" s="146">
        <f>1784351.28+24940.5</f>
        <v>1809291.78</v>
      </c>
      <c r="E135" s="145"/>
      <c r="F135" s="145"/>
      <c r="G135" s="146"/>
      <c r="H135" s="152">
        <f t="shared" si="75"/>
        <v>0</v>
      </c>
      <c r="I135" s="152" t="str">
        <f t="shared" si="69"/>
        <v/>
      </c>
    </row>
    <row r="136" spans="1:9" ht="25.5" x14ac:dyDescent="0.25">
      <c r="A136" s="8"/>
      <c r="B136" s="10">
        <v>45</v>
      </c>
      <c r="C136" s="17" t="s">
        <v>188</v>
      </c>
      <c r="D136" s="146">
        <v>690838.67</v>
      </c>
      <c r="E136" s="145">
        <v>243315.29</v>
      </c>
      <c r="F136" s="145">
        <v>243315.29</v>
      </c>
      <c r="G136" s="146">
        <f>243315.29+625115.58</f>
        <v>868430.87</v>
      </c>
      <c r="H136" s="152">
        <f t="shared" si="75"/>
        <v>125.70675437146561</v>
      </c>
      <c r="I136" s="152">
        <f t="shared" si="69"/>
        <v>356.91586418592925</v>
      </c>
    </row>
    <row r="137" spans="1:9" x14ac:dyDescent="0.25">
      <c r="A137" s="58"/>
      <c r="B137" s="58"/>
      <c r="C137" s="58" t="s">
        <v>189</v>
      </c>
      <c r="D137" s="59">
        <f>D138</f>
        <v>110245</v>
      </c>
      <c r="E137" s="59">
        <f t="shared" ref="E137:F138" si="76">E138</f>
        <v>106917.07</v>
      </c>
      <c r="F137" s="59">
        <f t="shared" si="76"/>
        <v>106917.07</v>
      </c>
      <c r="G137" s="59">
        <f>G138</f>
        <v>63179.63</v>
      </c>
      <c r="H137" s="60">
        <f t="shared" si="75"/>
        <v>57.308385867839803</v>
      </c>
      <c r="I137" s="157">
        <f t="shared" si="69"/>
        <v>59.092182380231705</v>
      </c>
    </row>
    <row r="138" spans="1:9" x14ac:dyDescent="0.25">
      <c r="A138" s="142">
        <v>3</v>
      </c>
      <c r="B138" s="142"/>
      <c r="C138" s="142" t="s">
        <v>4</v>
      </c>
      <c r="D138" s="88">
        <f>D139</f>
        <v>110245</v>
      </c>
      <c r="E138" s="88">
        <f t="shared" si="76"/>
        <v>106917.07</v>
      </c>
      <c r="F138" s="88">
        <f t="shared" si="76"/>
        <v>106917.07</v>
      </c>
      <c r="G138" s="88">
        <f>G139</f>
        <v>63179.63</v>
      </c>
      <c r="H138" s="144">
        <f t="shared" si="75"/>
        <v>57.308385867839803</v>
      </c>
      <c r="I138" s="152">
        <f t="shared" si="69"/>
        <v>59.092182380231705</v>
      </c>
    </row>
    <row r="139" spans="1:9" x14ac:dyDescent="0.25">
      <c r="A139" s="7"/>
      <c r="B139" s="7">
        <v>32</v>
      </c>
      <c r="C139" s="6" t="s">
        <v>13</v>
      </c>
      <c r="D139" s="146">
        <f>107430.7+2814.3</f>
        <v>110245</v>
      </c>
      <c r="E139" s="145">
        <f>43737.44+63179.63</f>
        <v>106917.07</v>
      </c>
      <c r="F139" s="145">
        <f>43737.44+63179.63</f>
        <v>106917.07</v>
      </c>
      <c r="G139" s="146">
        <v>63179.63</v>
      </c>
      <c r="H139" s="152">
        <f t="shared" si="75"/>
        <v>57.308385867839803</v>
      </c>
      <c r="I139" s="152">
        <f t="shared" si="69"/>
        <v>59.092182380231705</v>
      </c>
    </row>
    <row r="140" spans="1:9" x14ac:dyDescent="0.25">
      <c r="A140" s="58"/>
      <c r="B140" s="58"/>
      <c r="C140" s="58" t="s">
        <v>176</v>
      </c>
      <c r="D140" s="141">
        <f>D141+D143</f>
        <v>3301.08</v>
      </c>
      <c r="E140" s="141">
        <f>E141</f>
        <v>3875</v>
      </c>
      <c r="F140" s="141">
        <f>F141</f>
        <v>3875</v>
      </c>
      <c r="G140" s="141">
        <f>G141+G143</f>
        <v>3875</v>
      </c>
      <c r="H140" s="60">
        <f t="shared" si="75"/>
        <v>117.3858252450713</v>
      </c>
      <c r="I140" s="157">
        <f t="shared" si="69"/>
        <v>100</v>
      </c>
    </row>
    <row r="141" spans="1:9" x14ac:dyDescent="0.25">
      <c r="A141" s="142">
        <v>3</v>
      </c>
      <c r="B141" s="142"/>
      <c r="C141" s="142" t="s">
        <v>4</v>
      </c>
      <c r="D141" s="143">
        <f t="shared" ref="D141:G141" si="77">SUM(D142)</f>
        <v>261.85000000000002</v>
      </c>
      <c r="E141" s="143">
        <f>SUM(E142)</f>
        <v>3875</v>
      </c>
      <c r="F141" s="143">
        <f>SUM(F142)</f>
        <v>3875</v>
      </c>
      <c r="G141" s="143">
        <f t="shared" si="77"/>
        <v>3875</v>
      </c>
      <c r="H141" s="144">
        <f t="shared" si="75"/>
        <v>1479.8548787473744</v>
      </c>
      <c r="I141" s="152">
        <f t="shared" si="69"/>
        <v>100</v>
      </c>
    </row>
    <row r="142" spans="1:9" x14ac:dyDescent="0.25">
      <c r="A142" s="9"/>
      <c r="B142" s="9">
        <v>32</v>
      </c>
      <c r="C142" s="9" t="s">
        <v>13</v>
      </c>
      <c r="D142" s="146">
        <v>261.85000000000002</v>
      </c>
      <c r="E142" s="145">
        <v>3875</v>
      </c>
      <c r="F142" s="145">
        <v>3875</v>
      </c>
      <c r="G142" s="146">
        <v>3875</v>
      </c>
      <c r="H142" s="152">
        <f t="shared" si="75"/>
        <v>1479.8548787473744</v>
      </c>
      <c r="I142" s="152">
        <f t="shared" si="69"/>
        <v>100</v>
      </c>
    </row>
    <row r="143" spans="1:9" ht="25.5" x14ac:dyDescent="0.25">
      <c r="A143" s="155">
        <v>4</v>
      </c>
      <c r="B143" s="155"/>
      <c r="C143" s="156" t="s">
        <v>6</v>
      </c>
      <c r="D143" s="88">
        <f>SUM(D144)</f>
        <v>3039.23</v>
      </c>
      <c r="E143" s="143"/>
      <c r="F143" s="143"/>
      <c r="G143" s="88">
        <f>SUM(G144)</f>
        <v>0</v>
      </c>
      <c r="H143" s="144">
        <f t="shared" si="75"/>
        <v>0</v>
      </c>
      <c r="I143" s="152" t="str">
        <f t="shared" si="69"/>
        <v/>
      </c>
    </row>
    <row r="144" spans="1:9" ht="25.5" x14ac:dyDescent="0.25">
      <c r="A144" s="9"/>
      <c r="B144" s="9">
        <v>42</v>
      </c>
      <c r="C144" s="17" t="s">
        <v>146</v>
      </c>
      <c r="D144" s="175">
        <v>3039.23</v>
      </c>
      <c r="E144" s="145"/>
      <c r="F144" s="145"/>
      <c r="G144" s="175"/>
      <c r="H144" s="152">
        <f t="shared" si="75"/>
        <v>0</v>
      </c>
      <c r="I144" s="152" t="str">
        <f t="shared" si="69"/>
        <v/>
      </c>
    </row>
    <row r="145" spans="1:9" x14ac:dyDescent="0.25">
      <c r="A145" s="58"/>
      <c r="B145" s="58"/>
      <c r="C145" s="58" t="s">
        <v>190</v>
      </c>
      <c r="D145" s="59"/>
      <c r="E145" s="141">
        <f>E146</f>
        <v>3013.15</v>
      </c>
      <c r="F145" s="141">
        <f>F146</f>
        <v>3013.15</v>
      </c>
      <c r="G145" s="141">
        <f t="shared" ref="G145" si="78">G146</f>
        <v>3013.15</v>
      </c>
      <c r="H145" s="60" t="str">
        <f t="shared" si="75"/>
        <v/>
      </c>
      <c r="I145" s="157">
        <f t="shared" si="69"/>
        <v>100</v>
      </c>
    </row>
    <row r="146" spans="1:9" x14ac:dyDescent="0.25">
      <c r="A146" s="142">
        <v>3</v>
      </c>
      <c r="B146" s="142"/>
      <c r="C146" s="142" t="s">
        <v>4</v>
      </c>
      <c r="D146" s="88"/>
      <c r="E146" s="143">
        <f>SUM(E147:E148)</f>
        <v>3013.15</v>
      </c>
      <c r="F146" s="143">
        <f>SUM(F147:F148)</f>
        <v>3013.15</v>
      </c>
      <c r="G146" s="143">
        <f t="shared" ref="G146" si="79">SUM(G147:G148)</f>
        <v>3013.15</v>
      </c>
      <c r="H146" s="144" t="str">
        <f t="shared" si="75"/>
        <v/>
      </c>
      <c r="I146" s="152">
        <f t="shared" si="69"/>
        <v>100</v>
      </c>
    </row>
    <row r="147" spans="1:9" x14ac:dyDescent="0.25">
      <c r="A147" s="5"/>
      <c r="B147" s="9">
        <v>31</v>
      </c>
      <c r="C147" s="9" t="s">
        <v>5</v>
      </c>
      <c r="D147" s="168"/>
      <c r="E147" s="76"/>
      <c r="F147" s="76"/>
      <c r="G147" s="168"/>
      <c r="H147" s="78"/>
      <c r="I147" s="152" t="str">
        <f t="shared" si="69"/>
        <v/>
      </c>
    </row>
    <row r="148" spans="1:9" x14ac:dyDescent="0.25">
      <c r="A148" s="9"/>
      <c r="B148" s="9">
        <v>32</v>
      </c>
      <c r="C148" s="9" t="s">
        <v>13</v>
      </c>
      <c r="D148" s="146"/>
      <c r="E148" s="145">
        <v>3013.15</v>
      </c>
      <c r="F148" s="145">
        <v>3013.15</v>
      </c>
      <c r="G148" s="146">
        <v>3013.15</v>
      </c>
      <c r="H148" s="152" t="str">
        <f>IFERROR(G148/D148*100,"")</f>
        <v/>
      </c>
      <c r="I148" s="152">
        <f t="shared" si="69"/>
        <v>100</v>
      </c>
    </row>
    <row r="149" spans="1:9" ht="25.5" x14ac:dyDescent="0.25">
      <c r="A149" s="148"/>
      <c r="B149" s="148"/>
      <c r="C149" s="58" t="s">
        <v>191</v>
      </c>
      <c r="D149" s="149"/>
      <c r="E149" s="176">
        <f>E150</f>
        <v>0</v>
      </c>
      <c r="F149" s="176">
        <f>F150</f>
        <v>0</v>
      </c>
      <c r="G149" s="149"/>
      <c r="H149" s="157"/>
      <c r="I149" s="157" t="str">
        <f t="shared" si="69"/>
        <v/>
      </c>
    </row>
    <row r="150" spans="1:9" ht="25.5" x14ac:dyDescent="0.25">
      <c r="A150" s="155">
        <v>4</v>
      </c>
      <c r="B150" s="155"/>
      <c r="C150" s="156" t="s">
        <v>6</v>
      </c>
      <c r="D150" s="88"/>
      <c r="E150" s="143">
        <f>SUM(E151)</f>
        <v>0</v>
      </c>
      <c r="F150" s="143">
        <f>SUM(F151)</f>
        <v>0</v>
      </c>
      <c r="G150" s="88"/>
      <c r="H150" s="144" t="str">
        <f>IFERROR(G150/D150*100,"")</f>
        <v/>
      </c>
      <c r="I150" s="152" t="str">
        <f t="shared" si="69"/>
        <v/>
      </c>
    </row>
    <row r="151" spans="1:9" ht="25.5" x14ac:dyDescent="0.25">
      <c r="A151" s="9"/>
      <c r="B151" s="9">
        <v>42</v>
      </c>
      <c r="C151" s="17" t="s">
        <v>146</v>
      </c>
      <c r="D151" s="146"/>
      <c r="E151" s="145">
        <v>0</v>
      </c>
      <c r="F151" s="145">
        <v>0</v>
      </c>
      <c r="G151" s="146"/>
      <c r="H151" s="152" t="str">
        <f>IFERROR(G151/D151*100,"")</f>
        <v/>
      </c>
      <c r="I151" s="152" t="str">
        <f t="shared" si="69"/>
        <v/>
      </c>
    </row>
    <row r="152" spans="1:9" ht="25.5" x14ac:dyDescent="0.25">
      <c r="A152" s="148"/>
      <c r="B152" s="148"/>
      <c r="C152" s="58" t="s">
        <v>192</v>
      </c>
      <c r="D152" s="149">
        <f>D153+D155</f>
        <v>0</v>
      </c>
      <c r="E152" s="149">
        <f t="shared" ref="E152:H152" si="80">E153+E155</f>
        <v>629788.57999999996</v>
      </c>
      <c r="F152" s="149">
        <f t="shared" si="80"/>
        <v>629788.57999999996</v>
      </c>
      <c r="G152" s="149">
        <f t="shared" si="80"/>
        <v>624788.57999999996</v>
      </c>
      <c r="H152" s="149">
        <f t="shared" si="80"/>
        <v>0</v>
      </c>
      <c r="I152" s="157">
        <f t="shared" si="69"/>
        <v>99.206082777810934</v>
      </c>
    </row>
    <row r="153" spans="1:9" x14ac:dyDescent="0.25">
      <c r="A153" s="142">
        <v>3</v>
      </c>
      <c r="B153" s="142"/>
      <c r="C153" s="142" t="s">
        <v>4</v>
      </c>
      <c r="D153" s="143">
        <f t="shared" ref="D153:H153" si="81">SUM(D154)</f>
        <v>0</v>
      </c>
      <c r="E153" s="143">
        <f>SUM(E154)</f>
        <v>22187.5</v>
      </c>
      <c r="F153" s="143">
        <f>SUM(F154)</f>
        <v>22187.5</v>
      </c>
      <c r="G153" s="143">
        <f t="shared" si="81"/>
        <v>22187.5</v>
      </c>
      <c r="H153" s="143">
        <f t="shared" si="81"/>
        <v>0</v>
      </c>
      <c r="I153" s="152">
        <f t="shared" si="69"/>
        <v>100</v>
      </c>
    </row>
    <row r="154" spans="1:9" x14ac:dyDescent="0.25">
      <c r="A154" s="9"/>
      <c r="B154" s="9">
        <v>32</v>
      </c>
      <c r="C154" s="9" t="s">
        <v>13</v>
      </c>
      <c r="D154" s="146"/>
      <c r="E154" s="145">
        <v>22187.5</v>
      </c>
      <c r="F154" s="145">
        <v>22187.5</v>
      </c>
      <c r="G154" s="146">
        <v>22187.5</v>
      </c>
      <c r="H154" s="152" t="str">
        <f>IFERROR(G154/D154*100,"")</f>
        <v/>
      </c>
      <c r="I154" s="152">
        <f t="shared" si="69"/>
        <v>100</v>
      </c>
    </row>
    <row r="155" spans="1:9" ht="25.5" x14ac:dyDescent="0.25">
      <c r="A155" s="155">
        <v>4</v>
      </c>
      <c r="B155" s="155"/>
      <c r="C155" s="156" t="s">
        <v>6</v>
      </c>
      <c r="D155" s="23"/>
      <c r="E155" s="165">
        <f>E156</f>
        <v>607601.07999999996</v>
      </c>
      <c r="F155" s="165">
        <f>F156</f>
        <v>607601.07999999996</v>
      </c>
      <c r="G155" s="165">
        <f t="shared" ref="G155:H155" si="82">G156</f>
        <v>602601.07999999996</v>
      </c>
      <c r="H155" s="165">
        <f t="shared" si="82"/>
        <v>0</v>
      </c>
      <c r="I155" s="152">
        <f t="shared" si="69"/>
        <v>99.177091653622469</v>
      </c>
    </row>
    <row r="156" spans="1:9" ht="25.5" x14ac:dyDescent="0.25">
      <c r="A156" s="9"/>
      <c r="B156" s="9">
        <v>45</v>
      </c>
      <c r="C156" s="17" t="s">
        <v>188</v>
      </c>
      <c r="D156" s="23">
        <v>0</v>
      </c>
      <c r="E156" s="79">
        <v>607601.07999999996</v>
      </c>
      <c r="F156" s="79">
        <v>607601.07999999996</v>
      </c>
      <c r="G156" s="79">
        <v>602601.07999999996</v>
      </c>
      <c r="H156" s="23"/>
      <c r="I156" s="152">
        <f t="shared" si="69"/>
        <v>99.177091653622469</v>
      </c>
    </row>
  </sheetData>
  <mergeCells count="5">
    <mergeCell ref="A43:C43"/>
    <mergeCell ref="A44:C44"/>
    <mergeCell ref="C2:I2"/>
    <mergeCell ref="A4:C4"/>
    <mergeCell ref="A5:C5"/>
  </mergeCells>
  <pageMargins left="0.7" right="0.7" top="0.75" bottom="0.75" header="0.3" footer="0.3"/>
  <pageSetup paperSize="9" scale="7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L16"/>
  <sheetViews>
    <sheetView topLeftCell="A7" workbookViewId="0">
      <selection activeCell="H20" sqref="H20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6.5703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2:12" ht="18" customHeight="1" x14ac:dyDescent="0.25">
      <c r="B2" s="235" t="s">
        <v>55</v>
      </c>
      <c r="C2" s="235"/>
      <c r="D2" s="235"/>
      <c r="E2" s="235"/>
      <c r="F2" s="235"/>
      <c r="G2" s="235"/>
      <c r="H2" s="235"/>
      <c r="I2" s="235"/>
      <c r="J2" s="235"/>
      <c r="K2" s="235"/>
      <c r="L2" s="235"/>
    </row>
    <row r="3" spans="2:12" ht="15.75" customHeight="1" x14ac:dyDescent="0.25">
      <c r="B3" s="235" t="s">
        <v>35</v>
      </c>
      <c r="C3" s="235"/>
      <c r="D3" s="235"/>
      <c r="E3" s="235"/>
      <c r="F3" s="235"/>
      <c r="G3" s="235"/>
      <c r="H3" s="235"/>
      <c r="I3" s="235"/>
      <c r="J3" s="235"/>
      <c r="K3" s="235"/>
      <c r="L3" s="235"/>
    </row>
    <row r="4" spans="2:12" ht="18" x14ac:dyDescent="0.25">
      <c r="B4" s="2"/>
      <c r="C4" s="2"/>
      <c r="D4" s="2"/>
      <c r="E4" s="2"/>
      <c r="F4" s="2"/>
      <c r="G4" s="2"/>
      <c r="H4" s="2"/>
      <c r="I4" s="2"/>
      <c r="J4" s="3"/>
      <c r="K4" s="3"/>
      <c r="L4" s="3"/>
    </row>
    <row r="5" spans="2:12" ht="25.5" customHeight="1" x14ac:dyDescent="0.25">
      <c r="B5" s="229" t="s">
        <v>8</v>
      </c>
      <c r="C5" s="230"/>
      <c r="D5" s="230"/>
      <c r="E5" s="230"/>
      <c r="F5" s="231"/>
      <c r="G5" s="32" t="s">
        <v>63</v>
      </c>
      <c r="H5" s="30" t="s">
        <v>64</v>
      </c>
      <c r="I5" s="32" t="s">
        <v>65</v>
      </c>
      <c r="J5" s="32" t="s">
        <v>66</v>
      </c>
      <c r="K5" s="32" t="s">
        <v>17</v>
      </c>
      <c r="L5" s="32" t="s">
        <v>40</v>
      </c>
    </row>
    <row r="6" spans="2:12" x14ac:dyDescent="0.25">
      <c r="B6" s="229">
        <v>1</v>
      </c>
      <c r="C6" s="230"/>
      <c r="D6" s="230"/>
      <c r="E6" s="230"/>
      <c r="F6" s="231"/>
      <c r="G6" s="32">
        <v>2</v>
      </c>
      <c r="H6" s="32">
        <v>3</v>
      </c>
      <c r="I6" s="32">
        <v>4</v>
      </c>
      <c r="J6" s="32">
        <v>5</v>
      </c>
      <c r="K6" s="32" t="s">
        <v>19</v>
      </c>
      <c r="L6" s="32" t="s">
        <v>20</v>
      </c>
    </row>
    <row r="7" spans="2:12" ht="25.5" x14ac:dyDescent="0.25">
      <c r="B7" s="5">
        <v>8</v>
      </c>
      <c r="C7" s="5"/>
      <c r="D7" s="5"/>
      <c r="E7" s="5"/>
      <c r="F7" s="5" t="s">
        <v>9</v>
      </c>
      <c r="G7" s="76">
        <f>G8</f>
        <v>330921.87</v>
      </c>
      <c r="H7" s="76">
        <f t="shared" ref="H7:K7" si="0">H8</f>
        <v>629788.57999999996</v>
      </c>
      <c r="I7" s="76">
        <f t="shared" si="0"/>
        <v>629788.57999999996</v>
      </c>
      <c r="J7" s="76">
        <f t="shared" si="0"/>
        <v>629788.57999999996</v>
      </c>
      <c r="K7" s="76">
        <f t="shared" si="0"/>
        <v>190.31337517825582</v>
      </c>
      <c r="L7" s="79">
        <f>(J7/I7)*100</f>
        <v>100</v>
      </c>
    </row>
    <row r="8" spans="2:12" x14ac:dyDescent="0.25">
      <c r="B8" s="5"/>
      <c r="C8" s="9">
        <v>84</v>
      </c>
      <c r="D8" s="9"/>
      <c r="E8" s="9"/>
      <c r="F8" s="9" t="s">
        <v>14</v>
      </c>
      <c r="G8" s="76">
        <f>G9</f>
        <v>330921.87</v>
      </c>
      <c r="H8" s="76">
        <f t="shared" ref="H8:J8" si="1">H9</f>
        <v>629788.57999999996</v>
      </c>
      <c r="I8" s="76">
        <f t="shared" si="1"/>
        <v>629788.57999999996</v>
      </c>
      <c r="J8" s="76">
        <f t="shared" si="1"/>
        <v>629788.57999999996</v>
      </c>
      <c r="K8" s="79">
        <f>J8/G8*100</f>
        <v>190.31337517825582</v>
      </c>
      <c r="L8" s="79">
        <f>(J8/I8)*100</f>
        <v>100</v>
      </c>
    </row>
    <row r="9" spans="2:12" ht="38.25" x14ac:dyDescent="0.25">
      <c r="B9" s="6"/>
      <c r="C9" s="6"/>
      <c r="D9" s="6">
        <v>845</v>
      </c>
      <c r="E9" s="6"/>
      <c r="F9" s="24" t="s">
        <v>167</v>
      </c>
      <c r="G9" s="76">
        <f>SUM(G10)</f>
        <v>330921.87</v>
      </c>
      <c r="H9" s="76">
        <f t="shared" ref="H9:J9" si="2">SUM(H10)</f>
        <v>629788.57999999996</v>
      </c>
      <c r="I9" s="76">
        <f t="shared" si="2"/>
        <v>629788.57999999996</v>
      </c>
      <c r="J9" s="76">
        <f t="shared" si="2"/>
        <v>629788.57999999996</v>
      </c>
      <c r="K9" s="79">
        <f t="shared" ref="K9:K10" si="3">J9/G9*100</f>
        <v>190.31337517825582</v>
      </c>
      <c r="L9" s="79">
        <v>100</v>
      </c>
    </row>
    <row r="10" spans="2:12" ht="38.25" x14ac:dyDescent="0.25">
      <c r="B10" s="6"/>
      <c r="C10" s="6"/>
      <c r="D10" s="6"/>
      <c r="E10" s="6">
        <v>8453</v>
      </c>
      <c r="F10" s="24" t="s">
        <v>166</v>
      </c>
      <c r="G10" s="76">
        <v>330921.87</v>
      </c>
      <c r="H10" s="76">
        <v>629788.57999999996</v>
      </c>
      <c r="I10" s="76">
        <v>629788.57999999996</v>
      </c>
      <c r="J10" s="79">
        <v>629788.57999999996</v>
      </c>
      <c r="K10" s="79">
        <f t="shared" si="3"/>
        <v>190.31337517825582</v>
      </c>
      <c r="L10" s="79">
        <v>100</v>
      </c>
    </row>
    <row r="11" spans="2:12" x14ac:dyDescent="0.25">
      <c r="B11" s="6"/>
      <c r="C11" s="6"/>
      <c r="D11" s="6"/>
      <c r="E11" s="7"/>
      <c r="F11" s="11"/>
      <c r="G11" s="76"/>
      <c r="H11" s="76"/>
      <c r="I11" s="76"/>
      <c r="J11" s="79"/>
      <c r="K11" s="23"/>
      <c r="L11" s="23"/>
    </row>
    <row r="12" spans="2:12" ht="25.5" x14ac:dyDescent="0.25">
      <c r="B12" s="8">
        <v>5</v>
      </c>
      <c r="C12" s="8"/>
      <c r="D12" s="8"/>
      <c r="E12" s="8"/>
      <c r="F12" s="16" t="s">
        <v>10</v>
      </c>
      <c r="G12" s="76"/>
      <c r="H12" s="76"/>
      <c r="I12" s="76"/>
      <c r="J12" s="79"/>
      <c r="K12" s="23"/>
      <c r="L12" s="23"/>
    </row>
    <row r="13" spans="2:12" ht="25.5" x14ac:dyDescent="0.25">
      <c r="B13" s="9"/>
      <c r="C13" s="9">
        <v>54</v>
      </c>
      <c r="D13" s="9"/>
      <c r="E13" s="9"/>
      <c r="F13" s="17" t="s">
        <v>15</v>
      </c>
      <c r="G13" s="76"/>
      <c r="H13" s="76"/>
      <c r="I13" s="123"/>
      <c r="J13" s="79"/>
      <c r="K13" s="23"/>
      <c r="L13" s="23"/>
    </row>
    <row r="14" spans="2:12" ht="63.75" x14ac:dyDescent="0.25">
      <c r="B14" s="9"/>
      <c r="C14" s="9"/>
      <c r="D14" s="9">
        <v>541</v>
      </c>
      <c r="E14" s="24"/>
      <c r="F14" s="24" t="s">
        <v>36</v>
      </c>
      <c r="G14" s="76"/>
      <c r="H14" s="76"/>
      <c r="I14" s="123"/>
      <c r="J14" s="79"/>
      <c r="K14" s="23"/>
      <c r="L14" s="23"/>
    </row>
    <row r="15" spans="2:12" ht="38.25" x14ac:dyDescent="0.25">
      <c r="B15" s="9"/>
      <c r="C15" s="9"/>
      <c r="D15" s="9"/>
      <c r="E15" s="24">
        <v>5413</v>
      </c>
      <c r="F15" s="24" t="s">
        <v>37</v>
      </c>
      <c r="G15" s="76"/>
      <c r="H15" s="76"/>
      <c r="I15" s="123"/>
      <c r="J15" s="79"/>
      <c r="K15" s="23"/>
      <c r="L15" s="23"/>
    </row>
    <row r="16" spans="2:12" x14ac:dyDescent="0.25">
      <c r="B16" s="10" t="s">
        <v>16</v>
      </c>
      <c r="C16" s="8"/>
      <c r="D16" s="8"/>
      <c r="E16" s="8"/>
      <c r="F16" s="16" t="s">
        <v>24</v>
      </c>
      <c r="G16" s="4"/>
      <c r="H16" s="4"/>
      <c r="I16" s="4"/>
      <c r="J16" s="23"/>
      <c r="K16" s="23"/>
      <c r="L16" s="23"/>
    </row>
  </sheetData>
  <mergeCells count="4">
    <mergeCell ref="B5:F5"/>
    <mergeCell ref="B2:L2"/>
    <mergeCell ref="B3:L3"/>
    <mergeCell ref="B6:F6"/>
  </mergeCells>
  <pageMargins left="0.7" right="0.7" top="0.75" bottom="0.75" header="0.3" footer="0.3"/>
  <pageSetup paperSize="9" scale="6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1D1C2-1A40-42B0-B35D-47804B62B4AA}">
  <sheetPr>
    <pageSetUpPr fitToPage="1"/>
  </sheetPr>
  <dimension ref="A2:I14"/>
  <sheetViews>
    <sheetView workbookViewId="0">
      <selection activeCell="F17" sqref="F17"/>
    </sheetView>
  </sheetViews>
  <sheetFormatPr defaultRowHeight="15" x14ac:dyDescent="0.25"/>
  <cols>
    <col min="5" max="5" width="29.28515625" customWidth="1"/>
    <col min="6" max="6" width="26.140625" customWidth="1"/>
    <col min="7" max="7" width="22.28515625" customWidth="1"/>
    <col min="8" max="8" width="21.5703125" customWidth="1"/>
    <col min="9" max="9" width="28.7109375" customWidth="1"/>
  </cols>
  <sheetData>
    <row r="2" spans="1:9" ht="15.75" x14ac:dyDescent="0.25">
      <c r="B2" s="223" t="s">
        <v>11</v>
      </c>
      <c r="C2" s="223"/>
      <c r="D2" s="223"/>
      <c r="E2" s="223"/>
      <c r="F2" s="223"/>
      <c r="G2" s="223"/>
      <c r="H2" s="223"/>
      <c r="I2" s="223"/>
    </row>
    <row r="3" spans="1:9" ht="15.75" x14ac:dyDescent="0.25">
      <c r="A3" s="136"/>
      <c r="B3" s="240" t="s">
        <v>160</v>
      </c>
      <c r="C3" s="240"/>
      <c r="D3" s="240"/>
      <c r="E3" s="240"/>
      <c r="F3" s="240"/>
      <c r="G3" s="240"/>
      <c r="H3" s="240"/>
      <c r="I3" s="240"/>
    </row>
    <row r="4" spans="1:9" ht="15.75" x14ac:dyDescent="0.25">
      <c r="A4" s="136"/>
      <c r="B4" s="137"/>
      <c r="C4" s="137"/>
      <c r="D4" s="137"/>
      <c r="E4" s="137"/>
      <c r="F4" s="137"/>
      <c r="G4" s="137"/>
      <c r="H4" s="137"/>
      <c r="I4" s="137"/>
    </row>
    <row r="5" spans="1:9" ht="25.5" x14ac:dyDescent="0.25">
      <c r="B5" s="229" t="s">
        <v>8</v>
      </c>
      <c r="C5" s="230"/>
      <c r="D5" s="230"/>
      <c r="E5" s="231"/>
      <c r="F5" s="30" t="s">
        <v>64</v>
      </c>
      <c r="G5" s="30" t="s">
        <v>65</v>
      </c>
      <c r="H5" s="30" t="s">
        <v>165</v>
      </c>
      <c r="I5" s="30" t="s">
        <v>40</v>
      </c>
    </row>
    <row r="6" spans="1:9" x14ac:dyDescent="0.25">
      <c r="A6" s="22"/>
      <c r="B6" s="232">
        <v>1</v>
      </c>
      <c r="C6" s="233"/>
      <c r="D6" s="233"/>
      <c r="E6" s="234"/>
      <c r="F6" s="31">
        <v>2</v>
      </c>
      <c r="G6" s="31">
        <v>3</v>
      </c>
      <c r="H6" s="31">
        <v>4</v>
      </c>
      <c r="I6" s="31" t="s">
        <v>39</v>
      </c>
    </row>
    <row r="7" spans="1:9" ht="38.25" x14ac:dyDescent="0.25">
      <c r="B7" s="241" t="s">
        <v>161</v>
      </c>
      <c r="C7" s="241"/>
      <c r="D7" s="241"/>
      <c r="E7" s="138" t="s">
        <v>162</v>
      </c>
      <c r="F7" s="76">
        <v>9607384.3499999996</v>
      </c>
      <c r="G7" s="76">
        <v>9607384.3499999996</v>
      </c>
      <c r="H7" s="76">
        <v>8153841</v>
      </c>
      <c r="I7" s="76">
        <f>H7/F7*100</f>
        <v>84.870561049220441</v>
      </c>
    </row>
    <row r="8" spans="1:9" x14ac:dyDescent="0.25">
      <c r="B8" s="241" t="s">
        <v>163</v>
      </c>
      <c r="C8" s="241"/>
      <c r="D8" s="241"/>
      <c r="E8" s="138" t="s">
        <v>164</v>
      </c>
      <c r="F8" s="76">
        <v>9607384.3499999996</v>
      </c>
      <c r="G8" s="76">
        <v>9607384.3499999996</v>
      </c>
      <c r="H8" s="76">
        <v>8153841</v>
      </c>
      <c r="I8" s="76">
        <f>H8/F8*100</f>
        <v>84.870561049220441</v>
      </c>
    </row>
    <row r="9" spans="1:9" x14ac:dyDescent="0.25">
      <c r="B9" s="241"/>
      <c r="C9" s="241"/>
      <c r="D9" s="241"/>
      <c r="E9" s="138"/>
      <c r="F9" s="23"/>
      <c r="G9" s="23"/>
      <c r="H9" s="23"/>
      <c r="I9" s="23"/>
    </row>
    <row r="10" spans="1:9" x14ac:dyDescent="0.25">
      <c r="B10" s="237"/>
      <c r="C10" s="238"/>
      <c r="D10" s="239"/>
      <c r="E10" s="23"/>
      <c r="F10" s="23"/>
      <c r="G10" s="23"/>
      <c r="H10" s="23"/>
      <c r="I10" s="23"/>
    </row>
    <row r="11" spans="1:9" x14ac:dyDescent="0.25">
      <c r="B11" s="237"/>
      <c r="C11" s="238"/>
      <c r="D11" s="239"/>
      <c r="E11" s="23"/>
      <c r="F11" s="23"/>
      <c r="G11" s="23"/>
      <c r="H11" s="23"/>
      <c r="I11" s="23"/>
    </row>
    <row r="12" spans="1:9" x14ac:dyDescent="0.25">
      <c r="B12" s="237"/>
      <c r="C12" s="238"/>
      <c r="D12" s="239"/>
      <c r="E12" s="23"/>
      <c r="F12" s="23"/>
      <c r="G12" s="23"/>
      <c r="H12" s="23"/>
      <c r="I12" s="23"/>
    </row>
    <row r="13" spans="1:9" x14ac:dyDescent="0.25">
      <c r="B13" s="237"/>
      <c r="C13" s="238"/>
      <c r="D13" s="239"/>
      <c r="E13" s="23"/>
      <c r="F13" s="23"/>
      <c r="G13" s="23"/>
      <c r="H13" s="23"/>
      <c r="I13" s="23"/>
    </row>
    <row r="14" spans="1:9" x14ac:dyDescent="0.25">
      <c r="B14" s="237"/>
      <c r="C14" s="238"/>
      <c r="D14" s="239"/>
      <c r="E14" s="23"/>
      <c r="F14" s="23"/>
      <c r="G14" s="23"/>
      <c r="H14" s="23"/>
      <c r="I14" s="23"/>
    </row>
  </sheetData>
  <mergeCells count="12">
    <mergeCell ref="B14:D14"/>
    <mergeCell ref="B2:I2"/>
    <mergeCell ref="B3:I3"/>
    <mergeCell ref="B5:E5"/>
    <mergeCell ref="B6:E6"/>
    <mergeCell ref="B7:D7"/>
    <mergeCell ref="B8:D8"/>
    <mergeCell ref="B9:D9"/>
    <mergeCell ref="B10:D10"/>
    <mergeCell ref="B11:D11"/>
    <mergeCell ref="B12:D12"/>
    <mergeCell ref="B13:D13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I28"/>
  <sheetViews>
    <sheetView tabSelected="1" topLeftCell="A15" workbookViewId="0">
      <selection activeCell="H22" sqref="H22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23.42578125" customWidth="1"/>
    <col min="5" max="5" width="37.42578125" customWidth="1"/>
    <col min="6" max="8" width="25.28515625" customWidth="1"/>
    <col min="9" max="9" width="15.7109375" style="55" customWidth="1"/>
  </cols>
  <sheetData>
    <row r="1" spans="2:9" ht="18" x14ac:dyDescent="0.25">
      <c r="B1" s="2"/>
      <c r="C1" s="2"/>
      <c r="D1" s="2"/>
      <c r="E1" s="2"/>
      <c r="F1" s="2"/>
      <c r="G1" s="2"/>
      <c r="H1" s="2"/>
      <c r="I1" s="201"/>
    </row>
    <row r="2" spans="2:9" ht="18" customHeight="1" x14ac:dyDescent="0.25">
      <c r="B2" s="235" t="s">
        <v>11</v>
      </c>
      <c r="C2" s="246"/>
      <c r="D2" s="246"/>
      <c r="E2" s="246"/>
      <c r="F2" s="246"/>
      <c r="G2" s="246"/>
      <c r="H2" s="246"/>
      <c r="I2" s="246"/>
    </row>
    <row r="3" spans="2:9" ht="18" x14ac:dyDescent="0.25">
      <c r="B3" s="2"/>
      <c r="C3" s="2"/>
      <c r="D3" s="2"/>
      <c r="E3" s="2"/>
      <c r="F3" s="2"/>
      <c r="G3" s="2"/>
      <c r="H3" s="2"/>
      <c r="I3" s="201"/>
    </row>
    <row r="4" spans="2:9" ht="15.75" x14ac:dyDescent="0.25">
      <c r="B4" s="247" t="s">
        <v>56</v>
      </c>
      <c r="C4" s="247"/>
      <c r="D4" s="247"/>
      <c r="E4" s="247"/>
      <c r="F4" s="247"/>
      <c r="G4" s="247"/>
      <c r="H4" s="247"/>
      <c r="I4" s="247"/>
    </row>
    <row r="5" spans="2:9" ht="18" x14ac:dyDescent="0.25">
      <c r="B5" s="2"/>
      <c r="C5" s="2"/>
      <c r="D5" s="2"/>
      <c r="E5" s="2"/>
      <c r="F5" s="2"/>
      <c r="G5" s="2"/>
      <c r="H5" s="2"/>
      <c r="I5" s="201"/>
    </row>
    <row r="6" spans="2:9" ht="25.5" x14ac:dyDescent="0.25">
      <c r="B6" s="229" t="s">
        <v>8</v>
      </c>
      <c r="C6" s="230"/>
      <c r="D6" s="230"/>
      <c r="E6" s="231"/>
      <c r="F6" s="30" t="s">
        <v>64</v>
      </c>
      <c r="G6" s="30" t="s">
        <v>65</v>
      </c>
      <c r="H6" s="30" t="s">
        <v>165</v>
      </c>
      <c r="I6" s="56" t="s">
        <v>40</v>
      </c>
    </row>
    <row r="7" spans="2:9" s="22" customFormat="1" ht="15.75" customHeight="1" x14ac:dyDescent="0.2">
      <c r="B7" s="232">
        <v>1</v>
      </c>
      <c r="C7" s="233"/>
      <c r="D7" s="233"/>
      <c r="E7" s="234"/>
      <c r="F7" s="31">
        <v>2</v>
      </c>
      <c r="G7" s="31">
        <v>3</v>
      </c>
      <c r="H7" s="31">
        <v>4</v>
      </c>
      <c r="I7" s="202" t="s">
        <v>39</v>
      </c>
    </row>
    <row r="8" spans="2:9" s="34" customFormat="1" ht="15" customHeight="1" x14ac:dyDescent="0.25">
      <c r="B8" s="248">
        <v>4001</v>
      </c>
      <c r="C8" s="249"/>
      <c r="D8" s="250"/>
      <c r="E8" s="177" t="s">
        <v>197</v>
      </c>
      <c r="F8" s="198">
        <f>SUM(F9:F20)</f>
        <v>6182236.7399999993</v>
      </c>
      <c r="G8" s="198">
        <f>SUM(G9:G20)</f>
        <v>6182236.7399999993</v>
      </c>
      <c r="H8" s="198">
        <f>SUM(H9:H20)</f>
        <v>4712092.6500000004</v>
      </c>
      <c r="I8" s="203"/>
    </row>
    <row r="9" spans="2:9" s="34" customFormat="1" ht="30" customHeight="1" x14ac:dyDescent="0.25">
      <c r="B9" s="243" t="s">
        <v>198</v>
      </c>
      <c r="C9" s="244"/>
      <c r="D9" s="245"/>
      <c r="E9" s="33" t="s">
        <v>199</v>
      </c>
      <c r="F9" s="198">
        <v>5710</v>
      </c>
      <c r="G9" s="198">
        <v>5710</v>
      </c>
      <c r="H9" s="199">
        <v>5710</v>
      </c>
      <c r="I9" s="203">
        <f>H9/G9*100</f>
        <v>100</v>
      </c>
    </row>
    <row r="10" spans="2:9" s="34" customFormat="1" ht="30" customHeight="1" x14ac:dyDescent="0.25">
      <c r="B10" s="243" t="s">
        <v>200</v>
      </c>
      <c r="C10" s="244"/>
      <c r="D10" s="245"/>
      <c r="E10" s="35" t="s">
        <v>201</v>
      </c>
      <c r="F10" s="198">
        <v>729.96</v>
      </c>
      <c r="G10" s="198">
        <v>729.96</v>
      </c>
      <c r="H10" s="199">
        <v>729.96</v>
      </c>
      <c r="I10" s="203">
        <f t="shared" ref="I10:I23" si="0">H10/G10*100</f>
        <v>100</v>
      </c>
    </row>
    <row r="11" spans="2:9" s="34" customFormat="1" ht="30" customHeight="1" x14ac:dyDescent="0.25">
      <c r="B11" s="242" t="s">
        <v>202</v>
      </c>
      <c r="C11" s="242"/>
      <c r="D11" s="242"/>
      <c r="E11" s="35" t="s">
        <v>203</v>
      </c>
      <c r="F11" s="198">
        <v>20125.77</v>
      </c>
      <c r="G11" s="198">
        <v>20125.77</v>
      </c>
      <c r="H11" s="199">
        <v>25853.17</v>
      </c>
      <c r="I11" s="203">
        <f t="shared" si="0"/>
        <v>128.45804160536466</v>
      </c>
    </row>
    <row r="12" spans="2:9" s="34" customFormat="1" ht="30" customHeight="1" x14ac:dyDescent="0.25">
      <c r="B12" s="139" t="s">
        <v>204</v>
      </c>
      <c r="C12" s="140"/>
      <c r="D12" s="33"/>
      <c r="E12" s="178" t="s">
        <v>205</v>
      </c>
      <c r="F12" s="198">
        <v>377811.87</v>
      </c>
      <c r="G12" s="198">
        <v>377811.87</v>
      </c>
      <c r="H12" s="199">
        <f>91829.4+243315.29</f>
        <v>335144.69</v>
      </c>
      <c r="I12" s="203">
        <f t="shared" si="0"/>
        <v>88.706765618560368</v>
      </c>
    </row>
    <row r="13" spans="2:9" s="34" customFormat="1" ht="30" customHeight="1" x14ac:dyDescent="0.25">
      <c r="B13" s="243" t="s">
        <v>206</v>
      </c>
      <c r="C13" s="244"/>
      <c r="D13" s="245"/>
      <c r="E13" s="178" t="s">
        <v>207</v>
      </c>
      <c r="F13" s="198">
        <v>5528099.8899999997</v>
      </c>
      <c r="G13" s="198">
        <v>5528099.8899999997</v>
      </c>
      <c r="H13" s="199">
        <f>284704.92+4162482.65-165000-105232.76</f>
        <v>4176954.8100000005</v>
      </c>
      <c r="I13" s="203">
        <f t="shared" si="0"/>
        <v>75.558598670690827</v>
      </c>
    </row>
    <row r="14" spans="2:9" s="34" customFormat="1" ht="30" customHeight="1" x14ac:dyDescent="0.25">
      <c r="B14" s="243" t="s">
        <v>208</v>
      </c>
      <c r="C14" s="244"/>
      <c r="D14" s="245"/>
      <c r="E14" s="33" t="s">
        <v>209</v>
      </c>
      <c r="F14" s="198">
        <v>664</v>
      </c>
      <c r="G14" s="198">
        <v>664</v>
      </c>
      <c r="H14" s="199">
        <v>664</v>
      </c>
      <c r="I14" s="203">
        <f t="shared" si="0"/>
        <v>100</v>
      </c>
    </row>
    <row r="15" spans="2:9" s="34" customFormat="1" ht="30" customHeight="1" x14ac:dyDescent="0.25">
      <c r="B15" s="243" t="s">
        <v>210</v>
      </c>
      <c r="C15" s="244"/>
      <c r="D15" s="245"/>
      <c r="E15" s="33" t="s">
        <v>211</v>
      </c>
      <c r="F15" s="198">
        <v>54</v>
      </c>
      <c r="G15" s="198">
        <v>54</v>
      </c>
      <c r="H15" s="199">
        <v>54</v>
      </c>
      <c r="I15" s="203">
        <f t="shared" si="0"/>
        <v>100</v>
      </c>
    </row>
    <row r="16" spans="2:9" s="34" customFormat="1" ht="30" customHeight="1" x14ac:dyDescent="0.25">
      <c r="B16" s="243" t="s">
        <v>247</v>
      </c>
      <c r="C16" s="244"/>
      <c r="D16" s="245"/>
      <c r="E16" s="33" t="s">
        <v>248</v>
      </c>
      <c r="F16" s="198">
        <v>664</v>
      </c>
      <c r="G16" s="198">
        <v>664</v>
      </c>
      <c r="H16" s="199">
        <v>664</v>
      </c>
      <c r="I16" s="203">
        <f t="shared" si="0"/>
        <v>100</v>
      </c>
    </row>
    <row r="17" spans="2:9" s="34" customFormat="1" ht="30" customHeight="1" x14ac:dyDescent="0.25">
      <c r="B17" s="251" t="s">
        <v>212</v>
      </c>
      <c r="C17" s="252"/>
      <c r="D17" s="253"/>
      <c r="E17" s="194" t="s">
        <v>213</v>
      </c>
      <c r="F17" s="198">
        <v>38862.1</v>
      </c>
      <c r="G17" s="198">
        <v>38862.1</v>
      </c>
      <c r="H17" s="199">
        <v>39481.18</v>
      </c>
      <c r="I17" s="203">
        <f t="shared" si="0"/>
        <v>101.59301736138808</v>
      </c>
    </row>
    <row r="18" spans="2:9" s="34" customFormat="1" ht="30" customHeight="1" x14ac:dyDescent="0.25">
      <c r="B18" s="191" t="s">
        <v>249</v>
      </c>
      <c r="C18" s="192"/>
      <c r="D18" s="193"/>
      <c r="E18" s="194" t="s">
        <v>246</v>
      </c>
      <c r="F18" s="198">
        <v>30497.58</v>
      </c>
      <c r="G18" s="198">
        <v>30497.58</v>
      </c>
      <c r="H18" s="199">
        <v>17738.27</v>
      </c>
      <c r="I18" s="203">
        <f t="shared" si="0"/>
        <v>58.162877185665216</v>
      </c>
    </row>
    <row r="19" spans="2:9" s="34" customFormat="1" ht="30" customHeight="1" x14ac:dyDescent="0.25">
      <c r="B19" s="195" t="s">
        <v>214</v>
      </c>
      <c r="C19" s="196"/>
      <c r="D19" s="197"/>
      <c r="E19" s="33" t="s">
        <v>215</v>
      </c>
      <c r="F19" s="198">
        <v>178179.63</v>
      </c>
      <c r="G19" s="198">
        <v>178179.63</v>
      </c>
      <c r="H19" s="199">
        <v>108260.63</v>
      </c>
      <c r="I19" s="203">
        <f t="shared" si="0"/>
        <v>60.759262997683862</v>
      </c>
    </row>
    <row r="20" spans="2:9" s="34" customFormat="1" ht="30" customHeight="1" x14ac:dyDescent="0.25">
      <c r="B20" s="195" t="s">
        <v>251</v>
      </c>
      <c r="C20" s="196"/>
      <c r="D20" s="197"/>
      <c r="E20" s="33" t="s">
        <v>250</v>
      </c>
      <c r="F20" s="198">
        <v>837.94</v>
      </c>
      <c r="G20" s="198">
        <v>837.94</v>
      </c>
      <c r="H20" s="199">
        <v>837.94</v>
      </c>
      <c r="I20" s="203">
        <f t="shared" si="0"/>
        <v>100</v>
      </c>
    </row>
    <row r="21" spans="2:9" x14ac:dyDescent="0.25">
      <c r="B21" s="241">
        <v>4040</v>
      </c>
      <c r="C21" s="241"/>
      <c r="D21" s="241"/>
      <c r="E21" s="179" t="s">
        <v>216</v>
      </c>
      <c r="F21" s="79">
        <f>SUM(F22:F23)</f>
        <v>3425147.6100000003</v>
      </c>
      <c r="G21" s="79">
        <f t="shared" ref="G21:H21" si="1">SUM(G22:G23)</f>
        <v>3425147.6100000003</v>
      </c>
      <c r="H21" s="79">
        <f t="shared" si="1"/>
        <v>3441753.1700000004</v>
      </c>
      <c r="I21" s="203">
        <v>100.48</v>
      </c>
    </row>
    <row r="22" spans="2:9" ht="15.75" customHeight="1" x14ac:dyDescent="0.25">
      <c r="B22" s="242" t="s">
        <v>217</v>
      </c>
      <c r="C22" s="242"/>
      <c r="D22" s="242"/>
      <c r="E22" s="35" t="s">
        <v>218</v>
      </c>
      <c r="F22" s="79">
        <v>3153327.85</v>
      </c>
      <c r="G22" s="79">
        <v>3153327.85</v>
      </c>
      <c r="H22" s="79">
        <f>3167612.99+2.41</f>
        <v>3167615.4000000004</v>
      </c>
      <c r="I22" s="203">
        <f t="shared" si="0"/>
        <v>100.45309433968308</v>
      </c>
    </row>
    <row r="23" spans="2:9" ht="25.5" x14ac:dyDescent="0.25">
      <c r="B23" s="243" t="s">
        <v>219</v>
      </c>
      <c r="C23" s="244"/>
      <c r="D23" s="245"/>
      <c r="E23" s="180" t="s">
        <v>220</v>
      </c>
      <c r="F23" s="79">
        <v>271819.76</v>
      </c>
      <c r="G23" s="79">
        <v>271819.76</v>
      </c>
      <c r="H23" s="79">
        <f>271819.76+2315.6+2.41</f>
        <v>274137.76999999996</v>
      </c>
      <c r="I23" s="203">
        <f t="shared" si="0"/>
        <v>100.85277464743547</v>
      </c>
    </row>
    <row r="24" spans="2:9" x14ac:dyDescent="0.25">
      <c r="F24" s="55"/>
      <c r="G24" s="55"/>
    </row>
    <row r="25" spans="2:9" x14ac:dyDescent="0.25">
      <c r="F25" s="55"/>
      <c r="H25" s="55"/>
    </row>
    <row r="27" spans="2:9" x14ac:dyDescent="0.25">
      <c r="H27" s="55"/>
    </row>
    <row r="28" spans="2:9" x14ac:dyDescent="0.25">
      <c r="H28" s="55"/>
    </row>
  </sheetData>
  <mergeCells count="16">
    <mergeCell ref="B21:D21"/>
    <mergeCell ref="B22:D22"/>
    <mergeCell ref="B23:D23"/>
    <mergeCell ref="B2:I2"/>
    <mergeCell ref="B4:I4"/>
    <mergeCell ref="B6:E6"/>
    <mergeCell ref="B7:E7"/>
    <mergeCell ref="B8:D8"/>
    <mergeCell ref="B14:D14"/>
    <mergeCell ref="B9:D9"/>
    <mergeCell ref="B10:D10"/>
    <mergeCell ref="B11:D11"/>
    <mergeCell ref="B13:D13"/>
    <mergeCell ref="B15:D15"/>
    <mergeCell ref="B16:D16"/>
    <mergeCell ref="B17:D17"/>
  </mergeCells>
  <pageMargins left="0.7" right="0.7" top="0.75" bottom="0.75" header="0.3" footer="0.3"/>
  <pageSetup paperSize="9" scale="73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1E781-5444-4916-8FD1-256B0BF94DA8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SAŽETAK</vt:lpstr>
      <vt:lpstr> Račun prihoda i rashoda</vt:lpstr>
      <vt:lpstr>Rashodi prema funkcijskoj k </vt:lpstr>
      <vt:lpstr>Rashodi i prihodi prema izvoru</vt:lpstr>
      <vt:lpstr>Račun financiranja </vt:lpstr>
      <vt:lpstr>Organizacijska klasifikacija</vt:lpstr>
      <vt:lpstr>Programska klasifikacija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Meri Kovačević</cp:lastModifiedBy>
  <cp:lastPrinted>2025-02-19T11:34:34Z</cp:lastPrinted>
  <dcterms:created xsi:type="dcterms:W3CDTF">2022-08-12T12:51:27Z</dcterms:created>
  <dcterms:modified xsi:type="dcterms:W3CDTF">2025-02-20T14:04:08Z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 JLP(R)S.xlsx</vt:lpwstr>
  </property>
</Properties>
</file>