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meri\FINANCIJSKA IZVJEŠĆA 2025\"/>
    </mc:Choice>
  </mc:AlternateContent>
  <xr:revisionPtr revIDLastSave="0" documentId="13_ncr:1_{0E262881-DD4C-4871-AEA0-2C31E6C3EB1B}" xr6:coauthVersionLast="47" xr6:coauthVersionMax="47" xr10:uidLastSave="{00000000-0000-0000-0000-000000000000}"/>
  <bookViews>
    <workbookView xWindow="-120" yWindow="-120" windowWidth="29040" windowHeight="15840" firstSheet="2" activeTab="5" xr2:uid="{00000000-000D-0000-FFFF-FFFF00000000}"/>
  </bookViews>
  <sheets>
    <sheet name="SAŽETAK" sheetId="1" r:id="rId1"/>
    <sheet name=" Račun prihoda i rashoda" sheetId="3" r:id="rId2"/>
    <sheet name="Rashodi prema funkcijskoj k " sheetId="11" r:id="rId3"/>
    <sheet name="Prihodi i rashodi prema izvoru" sheetId="13" r:id="rId4"/>
    <sheet name="Izvještaj po organizacijskoj" sheetId="14" r:id="rId5"/>
    <sheet name="Izvještaj po programskoj" sheetId="15" r:id="rId6"/>
    <sheet name="List1" sheetId="1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5" l="1"/>
  <c r="I16" i="15"/>
  <c r="H6" i="15"/>
  <c r="H21" i="15"/>
  <c r="H16" i="15"/>
  <c r="H9" i="15"/>
  <c r="H12" i="15"/>
  <c r="J128" i="13"/>
  <c r="J127" i="13"/>
  <c r="J94" i="13"/>
  <c r="J95" i="13"/>
  <c r="J126" i="13"/>
  <c r="J117" i="13" s="1"/>
  <c r="J50" i="13"/>
  <c r="J112" i="13"/>
  <c r="J104" i="13"/>
  <c r="J103" i="13"/>
  <c r="J111" i="13"/>
  <c r="J49" i="13"/>
  <c r="J9" i="13"/>
  <c r="J12" i="13"/>
  <c r="J24" i="13"/>
  <c r="J25" i="13"/>
  <c r="J28" i="13"/>
  <c r="F8" i="11"/>
  <c r="F19" i="11"/>
  <c r="F18" i="11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J129" i="3"/>
  <c r="L84" i="3"/>
  <c r="L85" i="3"/>
  <c r="J59" i="3"/>
  <c r="J55" i="3"/>
  <c r="J53" i="3"/>
  <c r="J51" i="3"/>
  <c r="J37" i="3"/>
  <c r="H13" i="3"/>
  <c r="I13" i="3"/>
  <c r="J13" i="3"/>
  <c r="K13" i="3"/>
  <c r="L13" i="3"/>
  <c r="L23" i="1"/>
  <c r="L24" i="1"/>
  <c r="L26" i="1"/>
  <c r="K24" i="1"/>
  <c r="K26" i="1"/>
  <c r="K22" i="1"/>
  <c r="J102" i="13" l="1"/>
  <c r="I163" i="13"/>
  <c r="I160" i="13" s="1"/>
  <c r="I154" i="13"/>
  <c r="I153" i="13" s="1"/>
  <c r="I149" i="13"/>
  <c r="I148" i="13" s="1"/>
  <c r="I146" i="13"/>
  <c r="I145" i="13" s="1"/>
  <c r="I142" i="13"/>
  <c r="I136" i="13"/>
  <c r="I134" i="13"/>
  <c r="I133" i="13" s="1"/>
  <c r="I130" i="13"/>
  <c r="I129" i="13"/>
  <c r="I126" i="13"/>
  <c r="I118" i="13"/>
  <c r="I117" i="13" s="1"/>
  <c r="I114" i="13"/>
  <c r="I113" i="13"/>
  <c r="I112" i="13"/>
  <c r="I111" i="13"/>
  <c r="I110" i="13" s="1"/>
  <c r="I109" i="13" s="1"/>
  <c r="I106" i="13"/>
  <c r="I105" i="13" s="1"/>
  <c r="I104" i="13"/>
  <c r="I103" i="13"/>
  <c r="I102" i="13" s="1"/>
  <c r="I101" i="13" s="1"/>
  <c r="I98" i="13"/>
  <c r="I95" i="13"/>
  <c r="I94" i="13" s="1"/>
  <c r="I91" i="13"/>
  <c r="I88" i="13"/>
  <c r="I86" i="13"/>
  <c r="I84" i="13" s="1"/>
  <c r="I83" i="13" s="1"/>
  <c r="I81" i="13"/>
  <c r="I79" i="13"/>
  <c r="I78" i="13" s="1"/>
  <c r="I72" i="13"/>
  <c r="I71" i="13" s="1"/>
  <c r="I69" i="13"/>
  <c r="I67" i="13"/>
  <c r="I66" i="13"/>
  <c r="I63" i="13"/>
  <c r="I60" i="13"/>
  <c r="I59" i="13"/>
  <c r="I57" i="13"/>
  <c r="I54" i="13"/>
  <c r="I50" i="13"/>
  <c r="I49" i="13"/>
  <c r="H114" i="13"/>
  <c r="H111" i="13"/>
  <c r="H112" i="13"/>
  <c r="H104" i="13"/>
  <c r="H103" i="13"/>
  <c r="H102" i="13" s="1"/>
  <c r="J105" i="13"/>
  <c r="G105" i="13"/>
  <c r="H106" i="13"/>
  <c r="H105" i="13" s="1"/>
  <c r="H86" i="13"/>
  <c r="H136" i="13"/>
  <c r="H50" i="13"/>
  <c r="H49" i="13"/>
  <c r="H57" i="13"/>
  <c r="I39" i="13"/>
  <c r="I38" i="13" s="1"/>
  <c r="I36" i="13"/>
  <c r="I35" i="13" s="1"/>
  <c r="I30" i="13"/>
  <c r="I29" i="13" s="1"/>
  <c r="I27" i="13"/>
  <c r="I26" i="13" s="1"/>
  <c r="I25" i="13"/>
  <c r="I24" i="13" s="1"/>
  <c r="I23" i="13" s="1"/>
  <c r="I22" i="13"/>
  <c r="I21" i="13" s="1"/>
  <c r="I20" i="13" s="1"/>
  <c r="I17" i="13"/>
  <c r="I14" i="13"/>
  <c r="I13" i="13" s="1"/>
  <c r="I12" i="13"/>
  <c r="I11" i="13" s="1"/>
  <c r="I10" i="13" s="1"/>
  <c r="I9" i="13"/>
  <c r="I8" i="13" s="1"/>
  <c r="I7" i="13" s="1"/>
  <c r="H9" i="13"/>
  <c r="H25" i="13"/>
  <c r="H24" i="13" s="1"/>
  <c r="H23" i="13" s="1"/>
  <c r="H22" i="13"/>
  <c r="H21" i="13" s="1"/>
  <c r="H20" i="13" s="1"/>
  <c r="J23" i="13"/>
  <c r="G23" i="13"/>
  <c r="J20" i="13"/>
  <c r="G20" i="13"/>
  <c r="H38" i="3"/>
  <c r="H37" i="3" s="1"/>
  <c r="H12" i="13"/>
  <c r="H22" i="3"/>
  <c r="H21" i="3"/>
  <c r="I39" i="3"/>
  <c r="I38" i="3"/>
  <c r="I37" i="3" s="1"/>
  <c r="I36" i="3" s="1"/>
  <c r="I33" i="3"/>
  <c r="I30" i="3"/>
  <c r="I29" i="3"/>
  <c r="I27" i="3"/>
  <c r="I26" i="3" s="1"/>
  <c r="I20" i="3"/>
  <c r="I18" i="3"/>
  <c r="I17" i="3"/>
  <c r="I15" i="3" s="1"/>
  <c r="I12" i="3" s="1"/>
  <c r="I11" i="3" s="1"/>
  <c r="I10" i="3" s="1"/>
  <c r="I16" i="3"/>
  <c r="E27" i="11"/>
  <c r="E26" i="11"/>
  <c r="E19" i="11"/>
  <c r="E18" i="11"/>
  <c r="E17" i="11" s="1"/>
  <c r="E9" i="11"/>
  <c r="E8" i="11"/>
  <c r="E7" i="11"/>
  <c r="E6" i="11" s="1"/>
  <c r="D17" i="11"/>
  <c r="D19" i="11"/>
  <c r="D18" i="11"/>
  <c r="D27" i="11"/>
  <c r="D26" i="11"/>
  <c r="D9" i="11"/>
  <c r="D8" i="11"/>
  <c r="I136" i="3"/>
  <c r="I135" i="3" s="1"/>
  <c r="I134" i="3" s="1"/>
  <c r="L134" i="3" s="1"/>
  <c r="I133" i="3"/>
  <c r="I132" i="3"/>
  <c r="I131" i="3" s="1"/>
  <c r="I129" i="3"/>
  <c r="I122" i="3"/>
  <c r="I121" i="3" s="1"/>
  <c r="I117" i="3" s="1"/>
  <c r="I110" i="3"/>
  <c r="I101" i="3"/>
  <c r="I98" i="3"/>
  <c r="I92" i="3"/>
  <c r="I91" i="3"/>
  <c r="I90" i="3"/>
  <c r="I83" i="3"/>
  <c r="I80" i="3"/>
  <c r="I71" i="3"/>
  <c r="I67" i="3"/>
  <c r="I64" i="3"/>
  <c r="I59" i="3"/>
  <c r="I58" i="3"/>
  <c r="I56" i="3"/>
  <c r="I55" i="3"/>
  <c r="I53" i="3"/>
  <c r="I52" i="3"/>
  <c r="I51" i="3" s="1"/>
  <c r="I50" i="3" s="1"/>
  <c r="I49" i="3" s="1"/>
  <c r="I48" i="3" s="1"/>
  <c r="H90" i="3"/>
  <c r="H52" i="3"/>
  <c r="H56" i="3"/>
  <c r="H135" i="3"/>
  <c r="H136" i="3"/>
  <c r="J134" i="3"/>
  <c r="K134" i="3" s="1"/>
  <c r="H134" i="3"/>
  <c r="G134" i="3"/>
  <c r="H110" i="3"/>
  <c r="H133" i="3"/>
  <c r="H132" i="3"/>
  <c r="H39" i="3"/>
  <c r="H16" i="3"/>
  <c r="H17" i="3"/>
  <c r="I48" i="13" l="1"/>
  <c r="I47" i="13" s="1"/>
  <c r="I46" i="13"/>
  <c r="I6" i="13"/>
  <c r="L20" i="13"/>
  <c r="L23" i="13"/>
  <c r="K23" i="13"/>
  <c r="K20" i="13"/>
  <c r="I23" i="1"/>
  <c r="I24" i="1" s="1"/>
  <c r="I16" i="1"/>
  <c r="I15" i="1"/>
  <c r="I14" i="1"/>
  <c r="I11" i="1"/>
  <c r="I17" i="1" s="1"/>
  <c r="H15" i="1"/>
  <c r="H16" i="1"/>
  <c r="H23" i="1"/>
  <c r="G163" i="13"/>
  <c r="G161" i="13"/>
  <c r="G154" i="13"/>
  <c r="G153" i="13" s="1"/>
  <c r="G146" i="13"/>
  <c r="G145" i="13" s="1"/>
  <c r="G134" i="13"/>
  <c r="G133" i="13" s="1"/>
  <c r="G130" i="13"/>
  <c r="G129" i="13" s="1"/>
  <c r="G125" i="13"/>
  <c r="G121" i="13"/>
  <c r="G120" i="13"/>
  <c r="G119" i="13"/>
  <c r="G113" i="13"/>
  <c r="G110" i="13"/>
  <c r="G109" i="13" s="1"/>
  <c r="G101" i="13"/>
  <c r="G98" i="13"/>
  <c r="G88" i="13"/>
  <c r="G84" i="13"/>
  <c r="G79" i="13"/>
  <c r="G78" i="13" s="1"/>
  <c r="G72" i="13"/>
  <c r="G71" i="13" s="1"/>
  <c r="G63" i="13"/>
  <c r="G60" i="13"/>
  <c r="G54" i="13"/>
  <c r="G49" i="13"/>
  <c r="G48" i="13" s="1"/>
  <c r="G39" i="13"/>
  <c r="G38" i="13" s="1"/>
  <c r="G37" i="13"/>
  <c r="G36" i="13" s="1"/>
  <c r="G35" i="13" s="1"/>
  <c r="G30" i="13"/>
  <c r="G29" i="13" s="1"/>
  <c r="G28" i="13"/>
  <c r="G27" i="13" s="1"/>
  <c r="G26" i="13" s="1"/>
  <c r="G18" i="13"/>
  <c r="G17" i="13" s="1"/>
  <c r="G14" i="13"/>
  <c r="G13" i="13" s="1"/>
  <c r="G12" i="13"/>
  <c r="G11" i="13" s="1"/>
  <c r="G10" i="13" s="1"/>
  <c r="G9" i="13"/>
  <c r="G8" i="13" s="1"/>
  <c r="G7" i="13" s="1"/>
  <c r="C24" i="11"/>
  <c r="C18" i="11"/>
  <c r="C10" i="11"/>
  <c r="C20" i="11" s="1"/>
  <c r="C9" i="11"/>
  <c r="C19" i="11" s="1"/>
  <c r="C17" i="11" s="1"/>
  <c r="G132" i="3"/>
  <c r="G131" i="3"/>
  <c r="G122" i="3"/>
  <c r="G121" i="3"/>
  <c r="G117" i="3" s="1"/>
  <c r="G111" i="3"/>
  <c r="G110" i="3" s="1"/>
  <c r="G101" i="3"/>
  <c r="G98" i="3"/>
  <c r="G92" i="3"/>
  <c r="G91" i="3"/>
  <c r="G83" i="3"/>
  <c r="G58" i="3" s="1"/>
  <c r="G71" i="3"/>
  <c r="G64" i="3"/>
  <c r="G59" i="3"/>
  <c r="G55" i="3"/>
  <c r="G53" i="3"/>
  <c r="G51" i="3"/>
  <c r="G50" i="3"/>
  <c r="H19" i="15"/>
  <c r="J154" i="13"/>
  <c r="J153" i="13" s="1"/>
  <c r="J146" i="13"/>
  <c r="J145" i="13" s="1"/>
  <c r="J134" i="13"/>
  <c r="J133" i="13" s="1"/>
  <c r="J113" i="13"/>
  <c r="J110" i="13"/>
  <c r="J109" i="13" s="1"/>
  <c r="J101" i="13"/>
  <c r="J98" i="13"/>
  <c r="J88" i="13"/>
  <c r="J84" i="13"/>
  <c r="J79" i="13"/>
  <c r="J78" i="13" s="1"/>
  <c r="J72" i="13"/>
  <c r="J71" i="13" s="1"/>
  <c r="J63" i="13"/>
  <c r="J60" i="13"/>
  <c r="J54" i="13"/>
  <c r="J130" i="13"/>
  <c r="J129" i="13" s="1"/>
  <c r="G59" i="13" l="1"/>
  <c r="G160" i="13"/>
  <c r="J83" i="13"/>
  <c r="G118" i="13"/>
  <c r="G117" i="13" s="1"/>
  <c r="G83" i="13"/>
  <c r="G47" i="13"/>
  <c r="G6" i="13"/>
  <c r="J59" i="13"/>
  <c r="G46" i="13"/>
  <c r="C7" i="11"/>
  <c r="C6" i="11" s="1"/>
  <c r="G49" i="3"/>
  <c r="G48" i="3" s="1"/>
  <c r="J118" i="13"/>
  <c r="J163" i="13"/>
  <c r="J161" i="13"/>
  <c r="J11" i="13"/>
  <c r="J10" i="13" s="1"/>
  <c r="J18" i="13"/>
  <c r="J17" i="13" s="1"/>
  <c r="J14" i="13"/>
  <c r="J13" i="13" s="1"/>
  <c r="J27" i="13"/>
  <c r="J26" i="13" s="1"/>
  <c r="J30" i="13"/>
  <c r="J29" i="13" s="1"/>
  <c r="J36" i="13"/>
  <c r="J35" i="13" s="1"/>
  <c r="J39" i="13"/>
  <c r="J38" i="13" s="1"/>
  <c r="K84" i="3"/>
  <c r="K85" i="3"/>
  <c r="K86" i="3"/>
  <c r="K87" i="3"/>
  <c r="K88" i="3"/>
  <c r="K89" i="3"/>
  <c r="K90" i="3"/>
  <c r="K93" i="3"/>
  <c r="K94" i="3"/>
  <c r="K95" i="3"/>
  <c r="K96" i="3"/>
  <c r="K97" i="3"/>
  <c r="K98" i="3"/>
  <c r="K99" i="3"/>
  <c r="K100" i="3"/>
  <c r="K102" i="3"/>
  <c r="K103" i="3"/>
  <c r="K104" i="3"/>
  <c r="K105" i="3"/>
  <c r="K106" i="3"/>
  <c r="K107" i="3"/>
  <c r="K108" i="3"/>
  <c r="K109" i="3"/>
  <c r="K113" i="3"/>
  <c r="K115" i="3"/>
  <c r="K133" i="3"/>
  <c r="L102" i="3"/>
  <c r="L103" i="3"/>
  <c r="L104" i="3"/>
  <c r="L105" i="3"/>
  <c r="L106" i="3"/>
  <c r="L107" i="3"/>
  <c r="L108" i="3"/>
  <c r="L109" i="3"/>
  <c r="L90" i="3"/>
  <c r="L93" i="3"/>
  <c r="J132" i="3"/>
  <c r="J131" i="3" s="1"/>
  <c r="J122" i="3"/>
  <c r="J121" i="3" s="1"/>
  <c r="J111" i="3"/>
  <c r="K111" i="3" s="1"/>
  <c r="H101" i="3"/>
  <c r="J101" i="3"/>
  <c r="K101" i="3" s="1"/>
  <c r="J98" i="3"/>
  <c r="J92" i="3"/>
  <c r="L92" i="3" s="1"/>
  <c r="J83" i="3"/>
  <c r="K83" i="3" s="1"/>
  <c r="J71" i="3"/>
  <c r="J64" i="3"/>
  <c r="H55" i="3"/>
  <c r="J24" i="3"/>
  <c r="J23" i="3" s="1"/>
  <c r="J15" i="3"/>
  <c r="J18" i="3"/>
  <c r="J20" i="3"/>
  <c r="J27" i="3"/>
  <c r="J26" i="3" s="1"/>
  <c r="J30" i="3"/>
  <c r="J29" i="3" s="1"/>
  <c r="J36" i="3"/>
  <c r="J160" i="13" l="1"/>
  <c r="F17" i="11"/>
  <c r="J58" i="3"/>
  <c r="K92" i="3"/>
  <c r="J91" i="3"/>
  <c r="L101" i="3"/>
  <c r="J110" i="3"/>
  <c r="J117" i="3"/>
  <c r="K117" i="3" s="1"/>
  <c r="K131" i="3"/>
  <c r="K132" i="3"/>
  <c r="G6" i="15"/>
  <c r="G19" i="15"/>
  <c r="G13" i="3"/>
  <c r="H126" i="13"/>
  <c r="H130" i="13"/>
  <c r="H54" i="13"/>
  <c r="H91" i="13"/>
  <c r="H63" i="13"/>
  <c r="H60" i="13"/>
  <c r="H59" i="13" s="1"/>
  <c r="H154" i="13"/>
  <c r="H153" i="13" s="1"/>
  <c r="H98" i="13"/>
  <c r="H101" i="13"/>
  <c r="H113" i="13"/>
  <c r="H88" i="13"/>
  <c r="H80" i="3"/>
  <c r="K68" i="3"/>
  <c r="K69" i="3"/>
  <c r="H67" i="3"/>
  <c r="H27" i="3"/>
  <c r="H26" i="3" s="1"/>
  <c r="H48" i="13" l="1"/>
  <c r="H47" i="13" s="1"/>
  <c r="K91" i="3"/>
  <c r="L91" i="3"/>
  <c r="L110" i="3"/>
  <c r="K110" i="3"/>
  <c r="I21" i="15" l="1"/>
  <c r="I20" i="15"/>
  <c r="F19" i="15"/>
  <c r="I17" i="15"/>
  <c r="I14" i="15"/>
  <c r="I12" i="15"/>
  <c r="I9" i="15"/>
  <c r="I8" i="15"/>
  <c r="F6" i="15"/>
  <c r="I8" i="14"/>
  <c r="I7" i="14"/>
  <c r="G20" i="11"/>
  <c r="G16" i="11"/>
  <c r="G21" i="11"/>
  <c r="G22" i="11"/>
  <c r="G23" i="11"/>
  <c r="G24" i="11"/>
  <c r="G27" i="11"/>
  <c r="G11" i="11"/>
  <c r="G12" i="11"/>
  <c r="G13" i="11"/>
  <c r="G14" i="11"/>
  <c r="G26" i="11"/>
  <c r="I19" i="15" l="1"/>
  <c r="G18" i="11"/>
  <c r="G19" i="11"/>
  <c r="G15" i="11"/>
  <c r="I6" i="15"/>
  <c r="H18" i="11"/>
  <c r="K31" i="13"/>
  <c r="K34" i="13"/>
  <c r="K37" i="13"/>
  <c r="K40" i="13"/>
  <c r="K9" i="13"/>
  <c r="K12" i="13"/>
  <c r="K144" i="13"/>
  <c r="K137" i="13"/>
  <c r="K138" i="13"/>
  <c r="K139" i="13"/>
  <c r="K140" i="13"/>
  <c r="K124" i="13"/>
  <c r="L152" i="13"/>
  <c r="L153" i="13"/>
  <c r="L154" i="13"/>
  <c r="L155" i="13"/>
  <c r="L156" i="13"/>
  <c r="L157" i="13"/>
  <c r="L158" i="13"/>
  <c r="L159" i="13"/>
  <c r="K141" i="13"/>
  <c r="K32" i="13"/>
  <c r="L52" i="13"/>
  <c r="L53" i="13"/>
  <c r="L55" i="13"/>
  <c r="L68" i="13"/>
  <c r="L70" i="13"/>
  <c r="L73" i="13"/>
  <c r="L74" i="13"/>
  <c r="L75" i="13"/>
  <c r="L76" i="13"/>
  <c r="L77" i="13"/>
  <c r="L80" i="13"/>
  <c r="L82" i="13"/>
  <c r="L86" i="13"/>
  <c r="L87" i="13"/>
  <c r="L88" i="13"/>
  <c r="L89" i="13"/>
  <c r="L96" i="13"/>
  <c r="L97" i="13"/>
  <c r="L121" i="13"/>
  <c r="L124" i="13"/>
  <c r="L132" i="13"/>
  <c r="L137" i="13"/>
  <c r="L138" i="13"/>
  <c r="L139" i="13"/>
  <c r="L140" i="13"/>
  <c r="L141" i="13"/>
  <c r="L144" i="13"/>
  <c r="L150" i="13"/>
  <c r="L164" i="13"/>
  <c r="L9" i="13"/>
  <c r="L12" i="13"/>
  <c r="L15" i="13"/>
  <c r="L16" i="13"/>
  <c r="L19" i="13"/>
  <c r="L28" i="13"/>
  <c r="L31" i="13"/>
  <c r="L32" i="13"/>
  <c r="L33" i="13"/>
  <c r="L34" i="13"/>
  <c r="L37" i="13"/>
  <c r="L40" i="13"/>
  <c r="H67" i="13"/>
  <c r="L50" i="13"/>
  <c r="H69" i="13"/>
  <c r="H81" i="13"/>
  <c r="L151" i="13"/>
  <c r="H149" i="13"/>
  <c r="H148" i="13" s="1"/>
  <c r="L120" i="13"/>
  <c r="L119" i="13"/>
  <c r="H95" i="13"/>
  <c r="H94" i="13" s="1"/>
  <c r="H84" i="13"/>
  <c r="H83" i="13" s="1"/>
  <c r="H79" i="13"/>
  <c r="H72" i="13"/>
  <c r="H71" i="13" s="1"/>
  <c r="H146" i="13"/>
  <c r="H145" i="13" s="1"/>
  <c r="L136" i="13"/>
  <c r="H134" i="13"/>
  <c r="L111" i="13"/>
  <c r="L112" i="13"/>
  <c r="L125" i="13"/>
  <c r="H163" i="13"/>
  <c r="H160" i="13" s="1"/>
  <c r="L160" i="13" s="1"/>
  <c r="H142" i="13"/>
  <c r="K142" i="13"/>
  <c r="L135" i="13"/>
  <c r="H129" i="13"/>
  <c r="K129" i="13"/>
  <c r="L123" i="13"/>
  <c r="L122" i="13"/>
  <c r="H20" i="3"/>
  <c r="H8" i="13"/>
  <c r="H7" i="13" s="1"/>
  <c r="H11" i="13"/>
  <c r="H10" i="13" s="1"/>
  <c r="H39" i="13"/>
  <c r="H38" i="13" s="1"/>
  <c r="H30" i="13"/>
  <c r="H29" i="13" s="1"/>
  <c r="H36" i="13"/>
  <c r="H35" i="13" s="1"/>
  <c r="H27" i="13"/>
  <c r="H26" i="13" s="1"/>
  <c r="H17" i="13"/>
  <c r="H14" i="13"/>
  <c r="H13" i="13" s="1"/>
  <c r="K38" i="13"/>
  <c r="J8" i="13"/>
  <c r="J7" i="13" s="1"/>
  <c r="K7" i="13" l="1"/>
  <c r="J6" i="13"/>
  <c r="H6" i="13"/>
  <c r="L26" i="13"/>
  <c r="L127" i="13"/>
  <c r="L13" i="13"/>
  <c r="L17" i="13"/>
  <c r="L145" i="13"/>
  <c r="L126" i="13"/>
  <c r="L35" i="13"/>
  <c r="L129" i="13"/>
  <c r="L54" i="13"/>
  <c r="L142" i="13"/>
  <c r="L79" i="13"/>
  <c r="L69" i="13"/>
  <c r="H66" i="13"/>
  <c r="L29" i="13"/>
  <c r="L149" i="13"/>
  <c r="L94" i="13"/>
  <c r="L84" i="13"/>
  <c r="L83" i="13"/>
  <c r="L81" i="13"/>
  <c r="L72" i="13"/>
  <c r="L71" i="13"/>
  <c r="L67" i="13"/>
  <c r="K126" i="13"/>
  <c r="L143" i="13"/>
  <c r="L130" i="13"/>
  <c r="L163" i="13"/>
  <c r="K36" i="13"/>
  <c r="K35" i="13"/>
  <c r="K143" i="13"/>
  <c r="K123" i="13"/>
  <c r="H78" i="13"/>
  <c r="H46" i="13" s="1"/>
  <c r="K122" i="13"/>
  <c r="L38" i="13"/>
  <c r="L95" i="13"/>
  <c r="K10" i="13"/>
  <c r="K127" i="13"/>
  <c r="L147" i="13"/>
  <c r="K8" i="13"/>
  <c r="L10" i="13"/>
  <c r="L18" i="13"/>
  <c r="L146" i="13"/>
  <c r="K39" i="13"/>
  <c r="K11" i="13"/>
  <c r="K33" i="13"/>
  <c r="L11" i="13"/>
  <c r="L39" i="13"/>
  <c r="L30" i="13"/>
  <c r="L36" i="13"/>
  <c r="L27" i="13"/>
  <c r="L14" i="13"/>
  <c r="H110" i="13"/>
  <c r="H109" i="13" s="1"/>
  <c r="L148" i="13"/>
  <c r="H118" i="13"/>
  <c r="H117" i="13" s="1"/>
  <c r="H133" i="13"/>
  <c r="J48" i="13"/>
  <c r="J47" i="13" s="1"/>
  <c r="J46" i="13" s="1"/>
  <c r="H131" i="3"/>
  <c r="H129" i="3"/>
  <c r="H98" i="3"/>
  <c r="H92" i="3"/>
  <c r="H91" i="3" s="1"/>
  <c r="H83" i="3"/>
  <c r="H71" i="3"/>
  <c r="H64" i="3"/>
  <c r="H59" i="3"/>
  <c r="H53" i="3"/>
  <c r="H51" i="3"/>
  <c r="H36" i="3"/>
  <c r="H30" i="3"/>
  <c r="H33" i="3"/>
  <c r="H18" i="3"/>
  <c r="H15" i="3"/>
  <c r="H12" i="3" s="1"/>
  <c r="L34" i="3"/>
  <c r="L35" i="3"/>
  <c r="L31" i="3"/>
  <c r="L32" i="3"/>
  <c r="L38" i="3"/>
  <c r="L39" i="3"/>
  <c r="L40" i="3"/>
  <c r="L41" i="3"/>
  <c r="L42" i="3"/>
  <c r="L43" i="3"/>
  <c r="L128" i="3"/>
  <c r="L130" i="3"/>
  <c r="L124" i="3"/>
  <c r="L125" i="3"/>
  <c r="L126" i="3"/>
  <c r="L112" i="3"/>
  <c r="L113" i="3"/>
  <c r="L114" i="3"/>
  <c r="L115" i="3"/>
  <c r="L116" i="3"/>
  <c r="L97" i="3"/>
  <c r="L99" i="3"/>
  <c r="L100" i="3"/>
  <c r="L63" i="3"/>
  <c r="L66" i="3"/>
  <c r="D7" i="11"/>
  <c r="L117" i="13" l="1"/>
  <c r="L118" i="13"/>
  <c r="L133" i="13"/>
  <c r="L134" i="13"/>
  <c r="L66" i="13"/>
  <c r="K66" i="13"/>
  <c r="L110" i="13"/>
  <c r="L78" i="13"/>
  <c r="H29" i="3"/>
  <c r="H50" i="3"/>
  <c r="H122" i="3"/>
  <c r="H121" i="3" s="1"/>
  <c r="H117" i="3" s="1"/>
  <c r="H58" i="3"/>
  <c r="K109" i="13" l="1"/>
  <c r="L109" i="13"/>
  <c r="H49" i="3"/>
  <c r="H48" i="3" s="1"/>
  <c r="H11" i="3"/>
  <c r="H10" i="3" s="1"/>
  <c r="F7" i="11" l="1"/>
  <c r="H16" i="11"/>
  <c r="H12" i="11"/>
  <c r="H11" i="11"/>
  <c r="G30" i="3"/>
  <c r="G41" i="3"/>
  <c r="G40" i="3" s="1"/>
  <c r="G24" i="3"/>
  <c r="G18" i="3"/>
  <c r="G15" i="3"/>
  <c r="L98" i="3"/>
  <c r="L132" i="3"/>
  <c r="L133" i="3"/>
  <c r="L127" i="3"/>
  <c r="L33" i="3"/>
  <c r="G24" i="1"/>
  <c r="H24" i="1"/>
  <c r="K16" i="1"/>
  <c r="L111" i="3" l="1"/>
  <c r="G20" i="3"/>
  <c r="G12" i="3" s="1"/>
  <c r="G33" i="3"/>
  <c r="G29" i="3" s="1"/>
  <c r="G37" i="3"/>
  <c r="L131" i="3"/>
  <c r="J12" i="3"/>
  <c r="K121" i="13"/>
  <c r="H14" i="11" l="1"/>
  <c r="H13" i="11"/>
  <c r="K66" i="3" l="1"/>
  <c r="K40" i="3"/>
  <c r="L29" i="3" l="1"/>
  <c r="L30" i="3"/>
  <c r="L12" i="1"/>
  <c r="L13" i="1"/>
  <c r="L15" i="1"/>
  <c r="L16" i="1"/>
  <c r="K12" i="1"/>
  <c r="K13" i="1"/>
  <c r="K15" i="1"/>
  <c r="G36" i="3" l="1"/>
  <c r="G23" i="3"/>
  <c r="G27" i="3"/>
  <c r="G26" i="3" s="1"/>
  <c r="G11" i="3" l="1"/>
  <c r="G10" i="3" s="1"/>
  <c r="K136" i="13" l="1"/>
  <c r="K28" i="13" l="1"/>
  <c r="K19" i="13"/>
  <c r="K15" i="13"/>
  <c r="K159" i="13"/>
  <c r="K156" i="13"/>
  <c r="K152" i="13"/>
  <c r="K150" i="13"/>
  <c r="K147" i="13"/>
  <c r="K125" i="13"/>
  <c r="K120" i="13"/>
  <c r="K119" i="13"/>
  <c r="K97" i="13"/>
  <c r="K96" i="13"/>
  <c r="K87" i="13"/>
  <c r="K86" i="13"/>
  <c r="K80" i="13"/>
  <c r="K79" i="13"/>
  <c r="K78" i="13"/>
  <c r="K77" i="13"/>
  <c r="K72" i="13"/>
  <c r="K71" i="13"/>
  <c r="K55" i="13"/>
  <c r="K53" i="13"/>
  <c r="K52" i="13"/>
  <c r="K50" i="13"/>
  <c r="L49" i="13"/>
  <c r="K49" i="13"/>
  <c r="G8" i="11"/>
  <c r="H8" i="11"/>
  <c r="G9" i="11"/>
  <c r="H9" i="11"/>
  <c r="G10" i="11"/>
  <c r="H10" i="11"/>
  <c r="H15" i="11"/>
  <c r="H19" i="11"/>
  <c r="H23" i="11"/>
  <c r="H24" i="11"/>
  <c r="H26" i="11"/>
  <c r="L123" i="3"/>
  <c r="L96" i="3"/>
  <c r="L95" i="3"/>
  <c r="L94" i="3"/>
  <c r="L89" i="3"/>
  <c r="L88" i="3"/>
  <c r="L87" i="3"/>
  <c r="L86" i="3"/>
  <c r="L80" i="3"/>
  <c r="L79" i="3"/>
  <c r="L78" i="3"/>
  <c r="L77" i="3"/>
  <c r="L76" i="3"/>
  <c r="L75" i="3"/>
  <c r="L74" i="3"/>
  <c r="L73" i="3"/>
  <c r="L72" i="3"/>
  <c r="L70" i="3"/>
  <c r="L68" i="3"/>
  <c r="L69" i="3"/>
  <c r="L67" i="3"/>
  <c r="L65" i="3"/>
  <c r="L62" i="3"/>
  <c r="L61" i="3"/>
  <c r="L60" i="3"/>
  <c r="L57" i="3"/>
  <c r="L56" i="3"/>
  <c r="L54" i="3"/>
  <c r="L52" i="3"/>
  <c r="L28" i="3"/>
  <c r="L25" i="3"/>
  <c r="L17" i="3"/>
  <c r="L16" i="3"/>
  <c r="K80" i="3"/>
  <c r="K79" i="3"/>
  <c r="K78" i="3"/>
  <c r="K77" i="3"/>
  <c r="K76" i="3"/>
  <c r="K75" i="3"/>
  <c r="K74" i="3"/>
  <c r="K73" i="3"/>
  <c r="K72" i="3"/>
  <c r="K70" i="3"/>
  <c r="K67" i="3"/>
  <c r="K65" i="3"/>
  <c r="K63" i="3"/>
  <c r="K62" i="3"/>
  <c r="K61" i="3"/>
  <c r="K60" i="3"/>
  <c r="K57" i="3"/>
  <c r="K56" i="3"/>
  <c r="K54" i="3"/>
  <c r="K52" i="3"/>
  <c r="K43" i="3"/>
  <c r="K39" i="3"/>
  <c r="K38" i="3"/>
  <c r="K32" i="3"/>
  <c r="K34" i="3"/>
  <c r="K28" i="3"/>
  <c r="K25" i="3"/>
  <c r="K17" i="3"/>
  <c r="K16" i="3"/>
  <c r="K154" i="13"/>
  <c r="G17" i="11"/>
  <c r="K26" i="3"/>
  <c r="L23" i="3"/>
  <c r="L122" i="3"/>
  <c r="L129" i="3"/>
  <c r="L83" i="3"/>
  <c r="L71" i="3"/>
  <c r="L64" i="3"/>
  <c r="K59" i="3"/>
  <c r="L55" i="3"/>
  <c r="L53" i="3"/>
  <c r="L51" i="3"/>
  <c r="G11" i="1"/>
  <c r="G14" i="1"/>
  <c r="J14" i="1"/>
  <c r="J11" i="1"/>
  <c r="J17" i="1" l="1"/>
  <c r="J27" i="1" s="1"/>
  <c r="K14" i="1"/>
  <c r="G17" i="1"/>
  <c r="K11" i="1"/>
  <c r="K53" i="3"/>
  <c r="L24" i="3"/>
  <c r="K71" i="3"/>
  <c r="K29" i="3"/>
  <c r="K33" i="3"/>
  <c r="K23" i="3"/>
  <c r="K27" i="3"/>
  <c r="K51" i="3"/>
  <c r="K55" i="3"/>
  <c r="K64" i="3"/>
  <c r="L26" i="3"/>
  <c r="L59" i="3"/>
  <c r="K24" i="3"/>
  <c r="L27" i="3"/>
  <c r="K14" i="13"/>
  <c r="K17" i="13"/>
  <c r="K30" i="13"/>
  <c r="K29" i="13"/>
  <c r="K18" i="13"/>
  <c r="K27" i="13"/>
  <c r="K84" i="13"/>
  <c r="K146" i="13"/>
  <c r="L48" i="13"/>
  <c r="K118" i="13"/>
  <c r="K145" i="13"/>
  <c r="K149" i="13"/>
  <c r="K151" i="13"/>
  <c r="K158" i="13"/>
  <c r="K48" i="13"/>
  <c r="K95" i="13"/>
  <c r="K117" i="13"/>
  <c r="K54" i="13"/>
  <c r="J50" i="3"/>
  <c r="J49" i="3" l="1"/>
  <c r="J48" i="3" s="1"/>
  <c r="L7" i="13"/>
  <c r="K13" i="13"/>
  <c r="K50" i="3"/>
  <c r="L50" i="3"/>
  <c r="L121" i="3"/>
  <c r="L58" i="3"/>
  <c r="K58" i="3"/>
  <c r="K26" i="13"/>
  <c r="K83" i="13"/>
  <c r="K148" i="13"/>
  <c r="K153" i="13"/>
  <c r="L47" i="13"/>
  <c r="K94" i="13"/>
  <c r="K6" i="13" l="1"/>
  <c r="L6" i="13"/>
  <c r="L8" i="13"/>
  <c r="K47" i="13"/>
  <c r="L117" i="3"/>
  <c r="L48" i="3"/>
  <c r="K48" i="3"/>
  <c r="L49" i="3"/>
  <c r="K49" i="3"/>
  <c r="L46" i="13"/>
  <c r="K46" i="13"/>
  <c r="H11" i="1"/>
  <c r="L11" i="1" s="1"/>
  <c r="H14" i="1"/>
  <c r="L37" i="3"/>
  <c r="L14" i="1" l="1"/>
  <c r="H17" i="1"/>
  <c r="D6" i="11"/>
  <c r="L36" i="3"/>
  <c r="K37" i="3"/>
  <c r="K15" i="3"/>
  <c r="L15" i="3"/>
  <c r="H17" i="11"/>
  <c r="H7" i="11"/>
  <c r="G7" i="11"/>
  <c r="F6" i="11"/>
  <c r="J11" i="3" l="1"/>
  <c r="J10" i="3" s="1"/>
  <c r="L12" i="3"/>
  <c r="K12" i="3"/>
  <c r="K36" i="3"/>
  <c r="H6" i="11"/>
  <c r="G6" i="11"/>
  <c r="L11" i="3" l="1"/>
  <c r="K11" i="3"/>
  <c r="L10" i="3"/>
  <c r="K10" i="3"/>
</calcChain>
</file>

<file path=xl/sharedStrings.xml><?xml version="1.0" encoding="utf-8"?>
<sst xmlns="http://schemas.openxmlformats.org/spreadsheetml/2006/main" count="436" uniqueCount="246">
  <si>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</si>
  <si>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</si>
  <si>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</si>
  <si>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</si>
  <si>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</si>
  <si>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</si>
  <si>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</si>
  <si>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</si>
  <si>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</si>
  <si>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</si>
  <si>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</si>
  <si>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</si>
  <si>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</si>
  <si>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</si>
  <si>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</si>
  <si>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 xml:space="preserve"> Prihodi od prodaje proizvoda i robe te pruženih usluga i prihodi od donacija</t>
  </si>
  <si>
    <t>Plaće (Bruto)</t>
  </si>
  <si>
    <t>Plaće za redovan rad</t>
  </si>
  <si>
    <t>Naknade troškova zaposlenima</t>
  </si>
  <si>
    <t>Službena putovanja</t>
  </si>
  <si>
    <t>UKUPNO RASHODI</t>
  </si>
  <si>
    <t>IZVJEŠTAJ O RASHODIMA PREMA FUNKCIJSKOJ KLASIFIKACIJI</t>
  </si>
  <si>
    <t>INDEKS**</t>
  </si>
  <si>
    <t>UKUPNO PRIHODI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</si>
  <si>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</si>
  <si>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</si>
  <si>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</si>
  <si>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</si>
  <si>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</si>
  <si>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</si>
  <si>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</si>
  <si>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</si>
  <si>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</si>
  <si>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 xml:space="preserve">RAČUN PRIHODA I RASHODA </t>
  </si>
  <si>
    <t>SAŽETAK RAČUNA FINANCIRANJA</t>
  </si>
  <si>
    <t>RAZLIKA - VIŠAK MANJAK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</si>
  <si>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</si>
  <si>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SAŽETAK  RAČUNA PRIHODA I RASHODA I  RAČUNA FINANCIRANJA  može sadržavati i dodatne podatke.</t>
  </si>
  <si>
    <t>PRIJENOS VIŠKA/MANJKA U SLJEDEĆE RAZDOBLJE</t>
  </si>
  <si>
    <t>SAŽETAK RAČUNA PRIHODA I RASHODA</t>
  </si>
  <si>
    <t>Pomoći proračunskim korisnicima</t>
  </si>
  <si>
    <t>Tekuće pomoći proračunskim korisnicima</t>
  </si>
  <si>
    <t>Donacije od pravnih i fizičkih osoba</t>
  </si>
  <si>
    <t>Tekuće donacije</t>
  </si>
  <si>
    <t>Prihodi iz nadležnog proračuna za financ.</t>
  </si>
  <si>
    <t>Prihodi iz nadležnog proračuna proračuna</t>
  </si>
  <si>
    <t xml:space="preserve">Prihodi iz nadležnog  proračuna </t>
  </si>
  <si>
    <t>Ostali rashodi za zaposlene</t>
  </si>
  <si>
    <t>Doprinosi na plaću</t>
  </si>
  <si>
    <t>Doprinosi za zdravstveno osiguranje</t>
  </si>
  <si>
    <t>Doprinosi za zapošljavanje</t>
  </si>
  <si>
    <t>Naknada za prijevoz</t>
  </si>
  <si>
    <t>Stručno usavršavanje zaposlenika</t>
  </si>
  <si>
    <t>Uredski materijal</t>
  </si>
  <si>
    <t>Energija</t>
  </si>
  <si>
    <t>Materijal i dijelovi za tekuće i investicijsko održavanje</t>
  </si>
  <si>
    <t>Službena, radna i zaštitna odjeća i obuča</t>
  </si>
  <si>
    <t>Usluge telefona, pošte i prijevoza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</si>
  <si>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</si>
  <si>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</si>
  <si>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</si>
  <si>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</si>
  <si>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</si>
  <si>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</si>
  <si>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Knjige</t>
  </si>
  <si>
    <t>Uredska oprema i namještaj</t>
  </si>
  <si>
    <t>Rashodi za nabavu proizvedene dugotrajne imovine</t>
  </si>
  <si>
    <t>Postrojena i oprema</t>
  </si>
  <si>
    <t>Knjige, umjetnička djela i ostale izložbene vrijednosti</t>
  </si>
  <si>
    <t>0922 Više srednjoškolsko obrazovanje</t>
  </si>
  <si>
    <t>32 Materijalni rashodi</t>
  </si>
  <si>
    <t>34 Financijski rashodi</t>
  </si>
  <si>
    <t>31 Rashodi za zaposlene</t>
  </si>
  <si>
    <t>42 Rashodi za nabavu nefinancijske imovine</t>
  </si>
  <si>
    <t>0960 Dodatne usluge u obrazovanju</t>
  </si>
  <si>
    <t>37 Naknade građanima i kućanstvima</t>
  </si>
  <si>
    <t>38 Ostali rashodi</t>
  </si>
  <si>
    <t>Kapitalne pomoći proračunskim korisnicima</t>
  </si>
  <si>
    <t>1.1.1 Opći prihodi i primici</t>
  </si>
  <si>
    <t>Financijski rashodi</t>
  </si>
  <si>
    <t>3.2.1 Vlastiti prihodi</t>
  </si>
  <si>
    <t>3.2.2 Vlastiti prihodi - prenesena sredstva</t>
  </si>
  <si>
    <t>4.4.1 Prihodi za posebne namjene - Decentralizacija</t>
  </si>
  <si>
    <t xml:space="preserve">4.8.1 Prihodi za posebne namjene </t>
  </si>
  <si>
    <t>5.4.1 Pomoći</t>
  </si>
  <si>
    <t>6.2.1 Donacije</t>
  </si>
  <si>
    <t>6.2.2 Donacije - prenesena sredstva</t>
  </si>
  <si>
    <t>5.5.2 Pomoći EU - prenesena sredstva</t>
  </si>
  <si>
    <t>Prihodi od imovine</t>
  </si>
  <si>
    <t>Prihodi od upravnih i administr. pristojbi, prihodi po posebnim propisima i naknada</t>
  </si>
  <si>
    <t>Sitni inventar i auto gume</t>
  </si>
  <si>
    <t>Zdravstvene i veterinarske usluge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</si>
  <si>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</si>
  <si>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</si>
  <si>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</si>
  <si>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</si>
  <si>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</si>
  <si>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</si>
  <si>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</si>
  <si>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Rashodi za materijal i energiju</t>
  </si>
  <si>
    <t>Rashodi za usluge</t>
  </si>
  <si>
    <t>Ostali financijsku rashodi</t>
  </si>
  <si>
    <t>Bankarske usluge i usluge platnog prometa</t>
  </si>
  <si>
    <t>Negativne tečajne razlike</t>
  </si>
  <si>
    <t>Zatezne kamate</t>
  </si>
  <si>
    <t>Ostali nespomenuti financijski rashodi</t>
  </si>
  <si>
    <t>Naknade građanima i kućanstvima</t>
  </si>
  <si>
    <t>Ostale naknade građanima i kućanstvima iz proračuna</t>
  </si>
  <si>
    <t>Naknade građanima i kućanstvima u naravi</t>
  </si>
  <si>
    <t xml:space="preserve">Ostali rashodi </t>
  </si>
  <si>
    <t>Tekuće donacije u naravi</t>
  </si>
  <si>
    <t>Ostali rashodi</t>
  </si>
  <si>
    <t>Prihodi od donacija</t>
  </si>
  <si>
    <t>Prihodi iz nadležnog proračuna</t>
  </si>
  <si>
    <t>IZVJEŠTAJ O PRIHODIMA I RASHODIMA PREMA IZVORIMA FINANCIRANJA</t>
  </si>
  <si>
    <t>42 Rashodi za nabavu proiz. dug. imovine</t>
  </si>
  <si>
    <t>Pomoći temeljem prijenosa EU sredstava</t>
  </si>
  <si>
    <t>Tekuće pomoći temeljem prijenosa EU sredstava</t>
  </si>
  <si>
    <t>Ostali nespomenuti prihodi</t>
  </si>
  <si>
    <t>Prihodi po posebnin propisima</t>
  </si>
  <si>
    <t>Prihodi od prodaje proizvoda,roba te pruž.usluga</t>
  </si>
  <si>
    <t>Prihodi od prodaje proizvoda i robe</t>
  </si>
  <si>
    <t>Prihodi od pruženih usluga</t>
  </si>
  <si>
    <t>Prihodi od prodaje nefinancijske imovine</t>
  </si>
  <si>
    <t>Prihodi od prodaje građevinskih objekata</t>
  </si>
  <si>
    <t>Stambeni objekti</t>
  </si>
  <si>
    <t>Prihodi od prodaje proizv.dugotrajne imovine</t>
  </si>
  <si>
    <t>Prihodi od financijske imovine</t>
  </si>
  <si>
    <t>Kamate na oročena sredstva i depozite po viđenju</t>
  </si>
  <si>
    <t>Materijal i sirovine</t>
  </si>
  <si>
    <t>Naknade građanima i kućanstvima u novcu</t>
  </si>
  <si>
    <t>Kazne,penali i naknade štete</t>
  </si>
  <si>
    <t>Naknade šteta pravnim i fizičkim osobama</t>
  </si>
  <si>
    <t>Kapitalne donacije</t>
  </si>
  <si>
    <t>Ostale naknade troškova zaposlenima</t>
  </si>
  <si>
    <t>Komunikacijska oprema</t>
  </si>
  <si>
    <t>Oprema za održavanje i zaštitu</t>
  </si>
  <si>
    <t>4.4.1 Prihodi za posebne namjene-Decentralizacija</t>
  </si>
  <si>
    <t>Prihodi od prodaje proizvoda</t>
  </si>
  <si>
    <t>7.2.1.Prihodi od prodaje nefinancijske imovine</t>
  </si>
  <si>
    <t>'Materijalni rashodi</t>
  </si>
  <si>
    <t>7.2.1 Prihodi od prodaje nefinanc.imovine PK</t>
  </si>
  <si>
    <t>5.5.1. Pomoći EU</t>
  </si>
  <si>
    <t>Pomoći od međunarodnih organizacija te institucija i tijela EU</t>
  </si>
  <si>
    <t>Tekuće pomoći od međunarodnih organizacija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</si>
  <si>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</si>
  <si>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</si>
  <si>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</si>
  <si>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Kamate za primljene kredite I zajmove od kreditnih I ostalih financijskih institucija izvan jevnog sektora</t>
  </si>
  <si>
    <t>Subvencije</t>
  </si>
  <si>
    <t>Subvencije trgovačkim društvima I zadrugama izvan javnog sekora</t>
  </si>
  <si>
    <t>Subvencije trgovačkim društvima I zadrugama, poljoprivrednicima I obrtnicima iz EU sredstava</t>
  </si>
  <si>
    <t>Pomoći dane u inozemstvo I unutar općeg proračuna</t>
  </si>
  <si>
    <t>Tekuće pomoći proračunskim korisnicima drugih proračuna</t>
  </si>
  <si>
    <t>Tekuće donacije u novcu</t>
  </si>
  <si>
    <t>Tekuće donacije iz EU sredstava</t>
  </si>
  <si>
    <t>Uređji, strojevi I oprema za ostale namjene</t>
  </si>
  <si>
    <t>Prijevozna sredstva u cestovnom prometu</t>
  </si>
  <si>
    <t>Prijevozna sredstva</t>
  </si>
  <si>
    <t>Rashodi za dodatna ulaganja na nefinancijskoj imovini</t>
  </si>
  <si>
    <t>Dodatna ulaganja na građevinskim objektima</t>
  </si>
  <si>
    <t>Naknade troškova osobama izvan radnog odnosa</t>
  </si>
  <si>
    <t>35 Subvencije</t>
  </si>
  <si>
    <t>36 Pomoći dane u inozemstvo i unutar općeg proračuan</t>
  </si>
  <si>
    <t>45 Rashodi za dodatna ulaganja u nefinancijsku imovinu</t>
  </si>
  <si>
    <t>7=5/3*100</t>
  </si>
  <si>
    <t>8.2.1. Namjenski primici od zaduživanja PK</t>
  </si>
  <si>
    <t>Primici od zaduživanja</t>
  </si>
  <si>
    <t>Primici od financijske imovine i zaduživanja</t>
  </si>
  <si>
    <t>Pomoći dane u inozemstvo i unutar općeg proračuna</t>
  </si>
  <si>
    <t>5.4.2 Pomoći PK - prenesena sredstva</t>
  </si>
  <si>
    <t>Rashodi za dodatna ulag.na nefinancij.imovini</t>
  </si>
  <si>
    <t>8.2.1 Namjenski primici od zaduživanja PK</t>
  </si>
  <si>
    <t xml:space="preserve">5.3.1 Pomoći EU </t>
  </si>
  <si>
    <t>1.2.1 Predfinanciranje EU projekata</t>
  </si>
  <si>
    <t xml:space="preserve">  35 Subvencije</t>
  </si>
  <si>
    <t xml:space="preserve">  36 Pomoći dane u inozemstvo i unutar općeg proračuan</t>
  </si>
  <si>
    <t xml:space="preserve">  45 Rashodi za dodatna ulaganja u nefinancijsku imovinu</t>
  </si>
  <si>
    <t>II. POSEBNI DIO</t>
  </si>
  <si>
    <t>IZVJEŠTAJ PO ORGANIZACIJSKOJ KLASIFIKACIJI</t>
  </si>
  <si>
    <t>5=4/3*100</t>
  </si>
  <si>
    <t>RAZDJEL 004</t>
  </si>
  <si>
    <t>Upravni odjel za prosvjetu, kulturu, tehničku kulturu i sport</t>
  </si>
  <si>
    <t>GLAVA 004</t>
  </si>
  <si>
    <t>Ustanove u srednjem školstvu</t>
  </si>
  <si>
    <t>IZVJEŠTAJ PO PROGRAMSKOJ KLASIFIKACIJI</t>
  </si>
  <si>
    <t>5=4/2*100</t>
  </si>
  <si>
    <t>Razvoj odgojno obrazovnog sustava</t>
  </si>
  <si>
    <t>4001A400103</t>
  </si>
  <si>
    <t>Natjecanja, manifestacije i ostalo</t>
  </si>
  <si>
    <t>4001A400104</t>
  </si>
  <si>
    <t>e-Škole</t>
  </si>
  <si>
    <t xml:space="preserve">4001A400115 </t>
  </si>
  <si>
    <t>Osobni pomoćnici i pomoćnici u nastavi</t>
  </si>
  <si>
    <t xml:space="preserve">4001T400103 </t>
  </si>
  <si>
    <t>Čuvari baštine</t>
  </si>
  <si>
    <t>4001T400111</t>
  </si>
  <si>
    <t>Opskrba šk. ustanova hig. potr. za učenice</t>
  </si>
  <si>
    <t>4001T400121</t>
  </si>
  <si>
    <t>Učimo zajedno VI</t>
  </si>
  <si>
    <t>4001T400140</t>
  </si>
  <si>
    <t>Erasmus+</t>
  </si>
  <si>
    <t>Srednjoškolsko obrazovanje</t>
  </si>
  <si>
    <t>4040A404001</t>
  </si>
  <si>
    <t>Rashodi djelatnosti</t>
  </si>
  <si>
    <t>4040A404003</t>
  </si>
  <si>
    <t>Izgradnja i uređenje objekata te nabava i održavanje opreme</t>
  </si>
  <si>
    <t>4001K400103</t>
  </si>
  <si>
    <t>Uspostava RCK za elektrotehniku I računalstvo SDŽ</t>
  </si>
  <si>
    <t>Razvojni centar za elektrotehniku I računalstvo SDŽ</t>
  </si>
  <si>
    <t>4001K400104</t>
  </si>
  <si>
    <t xml:space="preserve">OSTVARENJE/IZVRŠENJE 
1.-06.2024. </t>
  </si>
  <si>
    <t>Rashodi za nabavu neproizvedene dugotrajne imovine</t>
  </si>
  <si>
    <t>Zemljište</t>
  </si>
  <si>
    <t>Materijalna imovina - prirodna bogatstva</t>
  </si>
  <si>
    <t xml:space="preserve">  41 Rashodi za nabavu neproizvedene        dugotrajne imovine</t>
  </si>
  <si>
    <t>4001T400122</t>
  </si>
  <si>
    <t>Učimo zajedno VII</t>
  </si>
  <si>
    <t>4001T400160</t>
  </si>
  <si>
    <t>Prevencija mentalnog zdravlja OŠ i SŠ</t>
  </si>
  <si>
    <t>1.1.2 Opći prihodi i primici - prenesena sredstva</t>
  </si>
  <si>
    <t>4.4.2 Prihodi za posebne namjene - Decentralizacija prenesena sredstva</t>
  </si>
  <si>
    <t>5.3.2 Pomoći EU - prenesena sredstva</t>
  </si>
  <si>
    <t>5.1.1 Pomoći</t>
  </si>
  <si>
    <t>4.8.2 Prihodi za posebne namjene - prenesena sredstva</t>
  </si>
  <si>
    <t>IZVJEŠTAJ O IZVRŠENJU PRORAČUNA JEDINICE LOKALNE I PODRUČNE (REGIONALNE) SAMOUPRAVE ZA  01.-06.2025.OBRTNA TEHNIČKA ŠKOLA SPLIT</t>
  </si>
  <si>
    <t>IZVORNI PLAN ILI REBALANS 2025.*</t>
  </si>
  <si>
    <t>TEKUĆI PLAN 2025.*</t>
  </si>
  <si>
    <t xml:space="preserve">OSTVARENJE/IZVRŠENJE 
1.-06.2025. </t>
  </si>
  <si>
    <t xml:space="preserve">OSTVARENJE/IZVRŠENJE 
1.-6.2024. </t>
  </si>
  <si>
    <t>OSTVARENJE/IZVRŠENJE 
1.-06.2025.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</si>
  <si>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</si>
  <si>
    <t xml:space="preserve"> IZVRŠENJE 
1.-06.2024. </t>
  </si>
  <si>
    <t xml:space="preserve">IZVRŠENJE 
1.-06.2025. </t>
  </si>
  <si>
    <t>Izdaci za otplatu glavnice prinljenih kredita  zajmova</t>
  </si>
  <si>
    <t xml:space="preserve">Otplata glavnice primljenih kredita od tuzemnih kreditnih institucija izvan javnog sektora </t>
  </si>
  <si>
    <t xml:space="preserve">Otplata glavnice primljenih kredita i zajmova od kreditnih i ostalih financijskih institucija izvan javnog sektora </t>
  </si>
  <si>
    <t>54 Izdaci za otplatu glavnice prinljenih kredita  zajmova</t>
  </si>
  <si>
    <t xml:space="preserve"> IZVRŠENJE 
01-06 2025. </t>
  </si>
  <si>
    <t xml:space="preserve"> IZVRŠENJE
01-06 2025. </t>
  </si>
  <si>
    <t>4001A400125</t>
  </si>
  <si>
    <t>Knjižnična građa u skolskim knjižnicama</t>
  </si>
  <si>
    <t>5.3.1 Pomoći EU</t>
  </si>
  <si>
    <t>Izdaci za financijsku imovinu i otplate zajmova</t>
  </si>
  <si>
    <t>5.1.2 Pomoći - prenesena sredstva</t>
  </si>
  <si>
    <t>Usluge tekućeg I investicijskog održavanja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</si>
</sst>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10"/>
      <color theme="2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name val="Arial"/>
      <family val="2"/>
    </font>
    <font>
      <sz val="11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6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6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0" fillId="2" borderId="0" xfId="0" applyFill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0" fillId="0" borderId="3" xfId="0" applyNumberForma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6" fillId="2" borderId="0" xfId="0" applyFont="1" applyFill="1" applyAlignment="1">
      <alignment horizontal="left" vertical="center" wrapText="1"/>
    </xf>
    <xf numFmtId="3" fontId="6" fillId="2" borderId="0" xfId="0" applyNumberFormat="1" applyFont="1" applyFill="1" applyAlignment="1">
      <alignment horizontal="right"/>
    </xf>
    <xf numFmtId="0" fontId="9" fillId="5" borderId="3" xfId="0" quotePrefix="1" applyFont="1" applyFill="1" applyBorder="1" applyAlignment="1">
      <alignment horizontal="left" vertical="center"/>
    </xf>
    <xf numFmtId="0" fontId="11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3" xfId="0" quotePrefix="1" applyFont="1" applyFill="1" applyBorder="1" applyAlignment="1">
      <alignment horizontal="left" vertical="center"/>
    </xf>
    <xf numFmtId="0" fontId="10" fillId="6" borderId="3" xfId="0" quotePrefix="1" applyFont="1" applyFill="1" applyBorder="1" applyAlignment="1">
      <alignment horizontal="left" vertical="center"/>
    </xf>
    <xf numFmtId="0" fontId="11" fillId="6" borderId="3" xfId="0" quotePrefix="1" applyFont="1" applyFill="1" applyBorder="1" applyAlignment="1">
      <alignment horizontal="left" vertical="center"/>
    </xf>
    <xf numFmtId="0" fontId="9" fillId="6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0" fillId="7" borderId="0" xfId="0" applyFill="1"/>
    <xf numFmtId="4" fontId="1" fillId="7" borderId="3" xfId="0" applyNumberFormat="1" applyFont="1" applyFill="1" applyBorder="1"/>
    <xf numFmtId="4" fontId="1" fillId="4" borderId="3" xfId="0" applyNumberFormat="1" applyFont="1" applyFill="1" applyBorder="1"/>
    <xf numFmtId="4" fontId="9" fillId="5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4" fontId="0" fillId="5" borderId="3" xfId="0" applyNumberFormat="1" applyFill="1" applyBorder="1"/>
    <xf numFmtId="4" fontId="3" fillId="5" borderId="3" xfId="0" applyNumberFormat="1" applyFont="1" applyFill="1" applyBorder="1" applyAlignment="1">
      <alignment horizontal="right" wrapText="1"/>
    </xf>
    <xf numFmtId="4" fontId="1" fillId="6" borderId="3" xfId="0" applyNumberFormat="1" applyFont="1" applyFill="1" applyBorder="1"/>
    <xf numFmtId="0" fontId="9" fillId="5" borderId="3" xfId="0" quotePrefix="1" applyFont="1" applyFill="1" applyBorder="1" applyAlignment="1">
      <alignment horizontal="left" vertical="center" wrapText="1"/>
    </xf>
    <xf numFmtId="4" fontId="0" fillId="2" borderId="3" xfId="0" applyNumberFormat="1" applyFill="1" applyBorder="1"/>
    <xf numFmtId="4" fontId="1" fillId="5" borderId="3" xfId="0" applyNumberFormat="1" applyFont="1" applyFill="1" applyBorder="1"/>
    <xf numFmtId="4" fontId="6" fillId="6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0" fontId="19" fillId="2" borderId="0" xfId="0" applyFont="1" applyFill="1"/>
    <xf numFmtId="0" fontId="11" fillId="3" borderId="3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/>
    <xf numFmtId="0" fontId="11" fillId="5" borderId="3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vertical="center" wrapText="1"/>
    </xf>
    <xf numFmtId="0" fontId="0" fillId="7" borderId="1" xfId="0" applyFill="1" applyBorder="1"/>
    <xf numFmtId="0" fontId="1" fillId="7" borderId="0" xfId="0" applyFont="1" applyFill="1"/>
    <xf numFmtId="14" fontId="11" fillId="7" borderId="3" xfId="0" applyNumberFormat="1" applyFont="1" applyFill="1" applyBorder="1" applyAlignment="1">
      <alignment horizontal="left" vertical="center" wrapText="1"/>
    </xf>
    <xf numFmtId="2" fontId="0" fillId="6" borderId="3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2" fontId="1" fillId="7" borderId="3" xfId="0" applyNumberFormat="1" applyFont="1" applyFill="1" applyBorder="1" applyAlignment="1">
      <alignment horizontal="center"/>
    </xf>
    <xf numFmtId="2" fontId="1" fillId="4" borderId="3" xfId="0" applyNumberFormat="1" applyFont="1" applyFill="1" applyBorder="1" applyAlignment="1">
      <alignment horizontal="center"/>
    </xf>
    <xf numFmtId="2" fontId="1" fillId="6" borderId="3" xfId="0" applyNumberFormat="1" applyFont="1" applyFill="1" applyBorder="1" applyAlignment="1">
      <alignment horizontal="center"/>
    </xf>
    <xf numFmtId="0" fontId="22" fillId="0" borderId="0" xfId="0" applyFont="1"/>
    <xf numFmtId="2" fontId="6" fillId="3" borderId="3" xfId="0" applyNumberFormat="1" applyFont="1" applyFill="1" applyBorder="1" applyAlignment="1">
      <alignment horizontal="center" vertical="center" wrapText="1"/>
    </xf>
    <xf numFmtId="2" fontId="15" fillId="3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/>
    </xf>
    <xf numFmtId="0" fontId="19" fillId="0" borderId="0" xfId="0" applyFont="1"/>
    <xf numFmtId="4" fontId="20" fillId="7" borderId="3" xfId="0" applyNumberFormat="1" applyFont="1" applyFill="1" applyBorder="1" applyAlignment="1">
      <alignment horizontal="right"/>
    </xf>
    <xf numFmtId="4" fontId="1" fillId="3" borderId="3" xfId="0" applyNumberFormat="1" applyFont="1" applyFill="1" applyBorder="1"/>
    <xf numFmtId="2" fontId="1" fillId="3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1" fillId="2" borderId="3" xfId="0" applyNumberFormat="1" applyFont="1" applyFill="1" applyBorder="1"/>
    <xf numFmtId="4" fontId="0" fillId="0" borderId="0" xfId="0" applyNumberFormat="1"/>
    <xf numFmtId="4" fontId="1" fillId="7" borderId="0" xfId="0" applyNumberFormat="1" applyFont="1" applyFill="1"/>
    <xf numFmtId="2" fontId="1" fillId="5" borderId="3" xfId="0" applyNumberFormat="1" applyFont="1" applyFill="1" applyBorder="1" applyAlignment="1">
      <alignment horizontal="center"/>
    </xf>
    <xf numFmtId="2" fontId="1" fillId="7" borderId="0" xfId="0" applyNumberFormat="1" applyFont="1" applyFill="1" applyAlignment="1">
      <alignment horizontal="center"/>
    </xf>
    <xf numFmtId="0" fontId="22" fillId="2" borderId="0" xfId="0" applyFont="1" applyFill="1"/>
    <xf numFmtId="2" fontId="22" fillId="8" borderId="3" xfId="0" applyNumberFormat="1" applyFont="1" applyFill="1" applyBorder="1" applyAlignment="1">
      <alignment horizontal="center"/>
    </xf>
    <xf numFmtId="0" fontId="9" fillId="8" borderId="3" xfId="0" quotePrefix="1" applyFont="1" applyFill="1" applyBorder="1" applyAlignment="1">
      <alignment horizontal="left" vertical="center"/>
    </xf>
    <xf numFmtId="0" fontId="11" fillId="8" borderId="3" xfId="0" quotePrefix="1" applyFont="1" applyFill="1" applyBorder="1" applyAlignment="1">
      <alignment horizontal="left" vertical="center"/>
    </xf>
    <xf numFmtId="0" fontId="10" fillId="8" borderId="3" xfId="0" quotePrefix="1" applyFont="1" applyFill="1" applyBorder="1" applyAlignment="1">
      <alignment horizontal="left" vertical="center"/>
    </xf>
    <xf numFmtId="0" fontId="9" fillId="8" borderId="3" xfId="0" applyFont="1" applyFill="1" applyBorder="1" applyAlignment="1">
      <alignment horizontal="left" vertical="center" wrapText="1"/>
    </xf>
    <xf numFmtId="4" fontId="3" fillId="8" borderId="3" xfId="0" applyNumberFormat="1" applyFont="1" applyFill="1" applyBorder="1" applyAlignment="1">
      <alignment horizontal="right"/>
    </xf>
    <xf numFmtId="4" fontId="0" fillId="8" borderId="3" xfId="0" applyNumberFormat="1" applyFill="1" applyBorder="1"/>
    <xf numFmtId="2" fontId="0" fillId="8" borderId="3" xfId="0" applyNumberFormat="1" applyFill="1" applyBorder="1" applyAlignment="1">
      <alignment horizontal="center"/>
    </xf>
    <xf numFmtId="0" fontId="9" fillId="4" borderId="3" xfId="0" quotePrefix="1" applyFont="1" applyFill="1" applyBorder="1" applyAlignment="1">
      <alignment horizontal="left" vertical="center"/>
    </xf>
    <xf numFmtId="2" fontId="0" fillId="4" borderId="3" xfId="0" applyNumberFormat="1" applyFill="1" applyBorder="1" applyAlignment="1">
      <alignment horizontal="center"/>
    </xf>
    <xf numFmtId="0" fontId="11" fillId="4" borderId="3" xfId="0" quotePrefix="1" applyFont="1" applyFill="1" applyBorder="1" applyAlignment="1">
      <alignment horizontal="left" vertical="center"/>
    </xf>
    <xf numFmtId="0" fontId="11" fillId="4" borderId="3" xfId="0" quotePrefix="1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2" fontId="19" fillId="7" borderId="3" xfId="0" applyNumberFormat="1" applyFont="1" applyFill="1" applyBorder="1" applyAlignment="1">
      <alignment horizontal="center"/>
    </xf>
    <xf numFmtId="4" fontId="11" fillId="7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left" vertical="center" wrapText="1"/>
    </xf>
    <xf numFmtId="4" fontId="11" fillId="8" borderId="3" xfId="0" applyNumberFormat="1" applyFont="1" applyFill="1" applyBorder="1" applyAlignment="1">
      <alignment horizontal="right"/>
    </xf>
    <xf numFmtId="2" fontId="19" fillId="8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" fontId="6" fillId="8" borderId="3" xfId="0" applyNumberFormat="1" applyFont="1" applyFill="1" applyBorder="1" applyAlignment="1">
      <alignment horizontal="right"/>
    </xf>
    <xf numFmtId="4" fontId="1" fillId="8" borderId="3" xfId="0" applyNumberFormat="1" applyFont="1" applyFill="1" applyBorder="1"/>
    <xf numFmtId="2" fontId="1" fillId="8" borderId="3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vertical="center" wrapText="1"/>
    </xf>
    <xf numFmtId="4" fontId="21" fillId="7" borderId="3" xfId="0" applyNumberFormat="1" applyFont="1" applyFill="1" applyBorder="1"/>
    <xf numFmtId="4" fontId="21" fillId="8" borderId="3" xfId="0" applyNumberFormat="1" applyFont="1" applyFill="1" applyBorder="1"/>
    <xf numFmtId="4" fontId="26" fillId="2" borderId="3" xfId="0" applyNumberFormat="1" applyFont="1" applyFill="1" applyBorder="1"/>
    <xf numFmtId="0" fontId="24" fillId="9" borderId="3" xfId="0" quotePrefix="1" applyFont="1" applyFill="1" applyBorder="1" applyAlignment="1">
      <alignment horizontal="left" vertical="center"/>
    </xf>
    <xf numFmtId="0" fontId="25" fillId="9" borderId="3" xfId="0" quotePrefix="1" applyFont="1" applyFill="1" applyBorder="1" applyAlignment="1">
      <alignment horizontal="left" vertical="center"/>
    </xf>
    <xf numFmtId="4" fontId="25" fillId="9" borderId="3" xfId="0" applyNumberFormat="1" applyFont="1" applyFill="1" applyBorder="1" applyAlignment="1">
      <alignment horizontal="right"/>
    </xf>
    <xf numFmtId="0" fontId="9" fillId="9" borderId="3" xfId="0" quotePrefix="1" applyFont="1" applyFill="1" applyBorder="1" applyAlignment="1">
      <alignment horizontal="left" vertical="center"/>
    </xf>
    <xf numFmtId="0" fontId="9" fillId="9" borderId="3" xfId="0" quotePrefix="1" applyFont="1" applyFill="1" applyBorder="1" applyAlignment="1">
      <alignment horizontal="left" vertical="center" wrapText="1"/>
    </xf>
    <xf numFmtId="4" fontId="3" fillId="9" borderId="3" xfId="0" applyNumberFormat="1" applyFont="1" applyFill="1" applyBorder="1" applyAlignment="1">
      <alignment horizontal="right"/>
    </xf>
    <xf numFmtId="0" fontId="11" fillId="9" borderId="3" xfId="0" quotePrefix="1" applyFont="1" applyFill="1" applyBorder="1" applyAlignment="1">
      <alignment horizontal="left" vertical="center"/>
    </xf>
    <xf numFmtId="0" fontId="10" fillId="9" borderId="3" xfId="0" quotePrefix="1" applyFont="1" applyFill="1" applyBorder="1" applyAlignment="1">
      <alignment horizontal="left" vertical="center"/>
    </xf>
    <xf numFmtId="4" fontId="19" fillId="0" borderId="3" xfId="0" applyNumberFormat="1" applyFont="1" applyBorder="1"/>
    <xf numFmtId="4" fontId="3" fillId="8" borderId="3" xfId="0" applyNumberFormat="1" applyFont="1" applyFill="1" applyBorder="1" applyAlignment="1">
      <alignment horizontal="right" wrapText="1"/>
    </xf>
    <xf numFmtId="0" fontId="11" fillId="3" borderId="3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15" fillId="3" borderId="3" xfId="0" applyNumberFormat="1" applyFont="1" applyFill="1" applyBorder="1" applyAlignment="1">
      <alignment horizontal="center" vertical="center" wrapText="1"/>
    </xf>
    <xf numFmtId="4" fontId="28" fillId="4" borderId="3" xfId="0" applyNumberFormat="1" applyFont="1" applyFill="1" applyBorder="1" applyAlignment="1">
      <alignment horizontal="right"/>
    </xf>
    <xf numFmtId="4" fontId="19" fillId="8" borderId="3" xfId="0" applyNumberFormat="1" applyFont="1" applyFill="1" applyBorder="1"/>
    <xf numFmtId="4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4" fontId="33" fillId="6" borderId="3" xfId="0" applyNumberFormat="1" applyFont="1" applyFill="1" applyBorder="1" applyAlignment="1">
      <alignment horizontal="right"/>
    </xf>
    <xf numFmtId="4" fontId="33" fillId="9" borderId="3" xfId="0" applyNumberFormat="1" applyFont="1" applyFill="1" applyBorder="1" applyAlignment="1">
      <alignment horizontal="right"/>
    </xf>
    <xf numFmtId="16" fontId="0" fillId="0" borderId="0" xfId="0" applyNumberFormat="1"/>
    <xf numFmtId="0" fontId="11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" fontId="9" fillId="2" borderId="0" xfId="0" applyNumberFormat="1" applyFont="1" applyFill="1" applyAlignment="1">
      <alignment horizontal="right"/>
    </xf>
    <xf numFmtId="4" fontId="19" fillId="2" borderId="0" xfId="0" applyNumberFormat="1" applyFont="1" applyFill="1"/>
    <xf numFmtId="2" fontId="19" fillId="2" borderId="0" xfId="0" applyNumberFormat="1" applyFont="1" applyFill="1" applyAlignment="1">
      <alignment horizontal="center"/>
    </xf>
    <xf numFmtId="4" fontId="26" fillId="8" borderId="3" xfId="0" applyNumberFormat="1" applyFont="1" applyFill="1" applyBorder="1"/>
    <xf numFmtId="4" fontId="29" fillId="8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0" fontId="0" fillId="0" borderId="3" xfId="0" applyBorder="1"/>
    <xf numFmtId="4" fontId="34" fillId="2" borderId="3" xfId="0" applyNumberFormat="1" applyFont="1" applyFill="1" applyBorder="1"/>
    <xf numFmtId="2" fontId="26" fillId="5" borderId="3" xfId="0" applyNumberFormat="1" applyFont="1" applyFill="1" applyBorder="1" applyAlignment="1">
      <alignment horizontal="center"/>
    </xf>
    <xf numFmtId="4" fontId="28" fillId="7" borderId="3" xfId="0" applyNumberFormat="1" applyFont="1" applyFill="1" applyBorder="1" applyAlignment="1">
      <alignment horizontal="right"/>
    </xf>
    <xf numFmtId="2" fontId="0" fillId="3" borderId="3" xfId="0" applyNumberFormat="1" applyFill="1" applyBorder="1" applyAlignment="1">
      <alignment horizontal="center"/>
    </xf>
    <xf numFmtId="0" fontId="36" fillId="0" borderId="0" xfId="0" applyFont="1" applyAlignment="1">
      <alignment vertical="center"/>
    </xf>
    <xf numFmtId="0" fontId="3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 vertical="center"/>
    </xf>
    <xf numFmtId="4" fontId="6" fillId="2" borderId="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0" fontId="37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7" fillId="0" borderId="3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4" fontId="29" fillId="2" borderId="3" xfId="0" applyNumberFormat="1" applyFont="1" applyFill="1" applyBorder="1" applyAlignment="1">
      <alignment horizontal="right"/>
    </xf>
    <xf numFmtId="0" fontId="11" fillId="9" borderId="3" xfId="0" applyFont="1" applyFill="1" applyBorder="1" applyAlignment="1">
      <alignment horizontal="left" vertical="center"/>
    </xf>
    <xf numFmtId="0" fontId="11" fillId="9" borderId="3" xfId="0" applyFont="1" applyFill="1" applyBorder="1" applyAlignment="1">
      <alignment vertical="center" wrapText="1"/>
    </xf>
    <xf numFmtId="4" fontId="6" fillId="9" borderId="3" xfId="0" applyNumberFormat="1" applyFont="1" applyFill="1" applyBorder="1" applyAlignment="1">
      <alignment horizontal="right"/>
    </xf>
    <xf numFmtId="4" fontId="1" fillId="9" borderId="3" xfId="0" applyNumberFormat="1" applyFont="1" applyFill="1" applyBorder="1"/>
    <xf numFmtId="2" fontId="1" fillId="9" borderId="3" xfId="0" applyNumberFormat="1" applyFont="1" applyFill="1" applyBorder="1" applyAlignment="1">
      <alignment horizontal="center"/>
    </xf>
    <xf numFmtId="0" fontId="30" fillId="9" borderId="3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vertical="center" wrapText="1"/>
    </xf>
    <xf numFmtId="4" fontId="29" fillId="9" borderId="3" xfId="0" applyNumberFormat="1" applyFont="1" applyFill="1" applyBorder="1" applyAlignment="1">
      <alignment horizontal="right"/>
    </xf>
    <xf numFmtId="4" fontId="33" fillId="6" borderId="3" xfId="0" applyNumberFormat="1" applyFont="1" applyFill="1" applyBorder="1" applyAlignment="1">
      <alignment horizontal="right" wrapText="1"/>
    </xf>
    <xf numFmtId="4" fontId="11" fillId="6" borderId="3" xfId="0" applyNumberFormat="1" applyFont="1" applyFill="1" applyBorder="1" applyAlignment="1">
      <alignment horizontal="right"/>
    </xf>
    <xf numFmtId="4" fontId="11" fillId="5" borderId="3" xfId="0" applyNumberFormat="1" applyFont="1" applyFill="1" applyBorder="1" applyAlignment="1">
      <alignment horizontal="right"/>
    </xf>
    <xf numFmtId="0" fontId="30" fillId="2" borderId="3" xfId="0" applyFont="1" applyFill="1" applyBorder="1" applyAlignment="1">
      <alignment horizontal="left" vertical="center" wrapText="1"/>
    </xf>
    <xf numFmtId="2" fontId="21" fillId="7" borderId="3" xfId="0" applyNumberFormat="1" applyFont="1" applyFill="1" applyBorder="1" applyAlignment="1">
      <alignment horizontal="center"/>
    </xf>
    <xf numFmtId="0" fontId="11" fillId="7" borderId="3" xfId="0" quotePrefix="1" applyFont="1" applyFill="1" applyBorder="1" applyAlignment="1">
      <alignment horizontal="left" vertical="center"/>
    </xf>
    <xf numFmtId="2" fontId="40" fillId="5" borderId="3" xfId="0" applyNumberFormat="1" applyFont="1" applyFill="1" applyBorder="1" applyAlignment="1">
      <alignment horizontal="center"/>
    </xf>
    <xf numFmtId="4" fontId="41" fillId="2" borderId="3" xfId="0" applyNumberFormat="1" applyFont="1" applyFill="1" applyBorder="1" applyAlignment="1">
      <alignment horizontal="right"/>
    </xf>
    <xf numFmtId="0" fontId="39" fillId="2" borderId="3" xfId="0" applyFont="1" applyFill="1" applyBorder="1" applyAlignment="1">
      <alignment vertical="center" wrapText="1"/>
    </xf>
    <xf numFmtId="4" fontId="21" fillId="2" borderId="3" xfId="0" applyNumberFormat="1" applyFont="1" applyFill="1" applyBorder="1"/>
    <xf numFmtId="4" fontId="27" fillId="0" borderId="3" xfId="0" applyNumberFormat="1" applyFont="1" applyBorder="1"/>
    <xf numFmtId="0" fontId="42" fillId="0" borderId="0" xfId="0" applyFont="1"/>
    <xf numFmtId="4" fontId="42" fillId="0" borderId="0" xfId="0" applyNumberFormat="1" applyFont="1"/>
    <xf numFmtId="0" fontId="11" fillId="0" borderId="3" xfId="0" quotePrefix="1" applyFont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/>
    </xf>
    <xf numFmtId="4" fontId="33" fillId="2" borderId="3" xfId="0" applyNumberFormat="1" applyFont="1" applyFill="1" applyBorder="1" applyAlignment="1">
      <alignment horizontal="right"/>
    </xf>
    <xf numFmtId="0" fontId="37" fillId="0" borderId="4" xfId="0" applyFont="1" applyBorder="1" applyAlignment="1">
      <alignment horizontal="left" vertical="center"/>
    </xf>
    <xf numFmtId="4" fontId="9" fillId="2" borderId="4" xfId="0" applyNumberFormat="1" applyFont="1" applyFill="1" applyBorder="1" applyAlignment="1">
      <alignment horizontal="right" vertical="center"/>
    </xf>
    <xf numFmtId="0" fontId="11" fillId="10" borderId="3" xfId="0" applyFont="1" applyFill="1" applyBorder="1" applyAlignment="1">
      <alignment vertical="center" wrapText="1"/>
    </xf>
    <xf numFmtId="4" fontId="19" fillId="10" borderId="3" xfId="0" applyNumberFormat="1" applyFont="1" applyFill="1" applyBorder="1"/>
    <xf numFmtId="4" fontId="28" fillId="10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43" fillId="2" borderId="3" xfId="0" applyNumberFormat="1" applyFont="1" applyFill="1" applyBorder="1"/>
    <xf numFmtId="0" fontId="18" fillId="0" borderId="5" xfId="0" applyFont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6" fillId="3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11" fillId="3" borderId="3" xfId="0" quotePrefix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quotePrefix="1" applyFont="1" applyBorder="1" applyAlignment="1">
      <alignment horizontal="center" wrapText="1"/>
    </xf>
    <xf numFmtId="0" fontId="15" fillId="0" borderId="3" xfId="0" quotePrefix="1" applyFont="1" applyBorder="1" applyAlignment="1">
      <alignment horizontal="center" wrapText="1"/>
    </xf>
    <xf numFmtId="0" fontId="11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0" borderId="3" xfId="0" quotePrefix="1" applyFont="1" applyBorder="1" applyAlignment="1">
      <alignment horizontal="left" vertical="center"/>
    </xf>
    <xf numFmtId="0" fontId="11" fillId="0" borderId="3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6"/>
  <sheetViews>
    <sheetView topLeftCell="B16" zoomScale="110" zoomScaleNormal="110" workbookViewId="0">
      <selection activeCell="H28" sqref="H28"/>
    </sheetView>
  </sheetViews>
  <sheetFormatPr defaultRowHeight="15" x14ac:dyDescent="0.25"/>
  <cols>
    <col min="6" max="10" width="25.28515625" customWidth="1"/>
    <col min="11" max="11" width="10.42578125" customWidth="1"/>
  </cols>
  <sheetData>
    <row r="1" spans="2:12" ht="42" customHeight="1" x14ac:dyDescent="0.25">
      <c r="B1" s="238" t="s">
        <v>225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8" customHeight="1" x14ac:dyDescent="0.25">
      <c r="B3" s="2"/>
      <c r="C3" s="2"/>
      <c r="D3" s="2"/>
      <c r="E3" s="2"/>
      <c r="F3" s="2"/>
      <c r="G3" s="2"/>
      <c r="H3" s="2"/>
      <c r="I3" s="2"/>
      <c r="J3" s="152"/>
      <c r="K3" s="2"/>
    </row>
    <row r="4" spans="2:12" ht="15.75" x14ac:dyDescent="0.25">
      <c r="B4" s="238" t="s">
        <v>8</v>
      </c>
      <c r="C4" s="238"/>
      <c r="D4" s="238"/>
      <c r="E4" s="238"/>
      <c r="F4" s="238"/>
      <c r="G4" s="238"/>
      <c r="H4" s="238"/>
      <c r="I4" s="238"/>
      <c r="J4" s="244"/>
      <c r="K4" s="244"/>
    </row>
    <row r="5" spans="2:12" ht="36" customHeight="1" x14ac:dyDescent="0.3">
      <c r="B5" s="245"/>
      <c r="C5" s="245"/>
      <c r="D5" s="245"/>
      <c r="E5" s="2"/>
      <c r="F5" s="2"/>
      <c r="G5" s="2"/>
      <c r="H5" s="2"/>
      <c r="I5" s="2"/>
      <c r="J5" s="3"/>
      <c r="K5" s="3"/>
    </row>
    <row r="6" spans="2:12" ht="18" customHeight="1" x14ac:dyDescent="0.25">
      <c r="B6" s="238" t="s">
        <v>31</v>
      </c>
      <c r="C6" s="246"/>
      <c r="D6" s="246"/>
      <c r="E6" s="246"/>
      <c r="F6" s="246"/>
      <c r="G6" s="246"/>
      <c r="H6" s="246"/>
      <c r="I6" s="246"/>
      <c r="J6" s="246"/>
      <c r="K6" s="246"/>
    </row>
    <row r="7" spans="2:12" ht="18" customHeight="1" x14ac:dyDescent="0.3">
      <c r="B7" s="27"/>
      <c r="C7" s="28"/>
      <c r="D7" s="28"/>
      <c r="E7" s="28"/>
      <c r="F7" s="28"/>
      <c r="G7" s="28"/>
      <c r="H7" s="28"/>
      <c r="I7" s="28"/>
      <c r="J7" s="28"/>
      <c r="K7" s="28"/>
    </row>
    <row r="8" spans="2:12" x14ac:dyDescent="0.25">
      <c r="B8" s="225" t="s">
        <v>39</v>
      </c>
      <c r="C8" s="225"/>
      <c r="D8" s="225"/>
      <c r="E8" s="225"/>
      <c r="F8" s="225"/>
      <c r="G8" s="4"/>
      <c r="H8" s="4"/>
      <c r="I8" s="4"/>
      <c r="J8" s="4"/>
      <c r="K8" s="17"/>
    </row>
    <row r="9" spans="2:12" ht="25.5" x14ac:dyDescent="0.25">
      <c r="B9" s="239" t="s">
        <v>6</v>
      </c>
      <c r="C9" s="239"/>
      <c r="D9" s="239"/>
      <c r="E9" s="239"/>
      <c r="F9" s="239"/>
      <c r="G9" s="211" t="s">
        <v>211</v>
      </c>
      <c r="H9" s="222" t="s">
        <v>226</v>
      </c>
      <c r="I9" s="222" t="s">
        <v>227</v>
      </c>
      <c r="J9" s="211" t="s">
        <v>228</v>
      </c>
      <c r="K9" s="1" t="s">
        <v>10</v>
      </c>
      <c r="L9" s="1" t="s">
        <v>22</v>
      </c>
    </row>
    <row r="10" spans="2:12" s="23" customFormat="1" ht="10.15" x14ac:dyDescent="0.2">
      <c r="B10" s="240">
        <v>1</v>
      </c>
      <c r="C10" s="240"/>
      <c r="D10" s="240"/>
      <c r="E10" s="240"/>
      <c r="F10" s="240"/>
      <c r="G10" s="22">
        <v>2</v>
      </c>
      <c r="H10" s="21">
        <v>3</v>
      </c>
      <c r="I10" s="21">
        <v>4</v>
      </c>
      <c r="J10" s="21">
        <v>5</v>
      </c>
      <c r="K10" s="21" t="s">
        <v>12</v>
      </c>
      <c r="L10" s="21" t="s">
        <v>13</v>
      </c>
    </row>
    <row r="11" spans="2:12" ht="14.45" x14ac:dyDescent="0.3">
      <c r="B11" s="241" t="s">
        <v>0</v>
      </c>
      <c r="C11" s="237"/>
      <c r="D11" s="237"/>
      <c r="E11" s="237"/>
      <c r="F11" s="242"/>
      <c r="G11" s="35">
        <f>SUM(G12:G13)</f>
        <v>2245767.2400000002</v>
      </c>
      <c r="H11" s="35">
        <f>SUM(H12:H13)</f>
        <v>5415740.2699999996</v>
      </c>
      <c r="I11" s="35">
        <f>SUM(I12:I13)</f>
        <v>5415740.2699999996</v>
      </c>
      <c r="J11" s="35">
        <f>SUM(J12:J13)</f>
        <v>2922515.19</v>
      </c>
      <c r="K11" s="35">
        <f>IFERROR(J11/G11*100,"")</f>
        <v>130.1343762588682</v>
      </c>
      <c r="L11" s="35">
        <f>IFERROR(J11/H11*100,"")</f>
        <v>53.963355779615341</v>
      </c>
    </row>
    <row r="12" spans="2:12" x14ac:dyDescent="0.25">
      <c r="B12" s="234" t="s">
        <v>24</v>
      </c>
      <c r="C12" s="235"/>
      <c r="D12" s="235"/>
      <c r="E12" s="235"/>
      <c r="F12" s="243"/>
      <c r="G12" s="37">
        <v>2245767.2400000002</v>
      </c>
      <c r="H12" s="37">
        <v>5415740.2699999996</v>
      </c>
      <c r="I12" s="37">
        <v>5415740.2699999996</v>
      </c>
      <c r="J12" s="37">
        <v>2922515.19</v>
      </c>
      <c r="K12" s="32">
        <f t="shared" ref="K12:K16" si="0">IFERROR(J12/G12*100,"")</f>
        <v>130.1343762588682</v>
      </c>
      <c r="L12" s="32">
        <f t="shared" ref="L12:L14" si="1">IFERROR(J12/H12*100,"")</f>
        <v>53.963355779615341</v>
      </c>
    </row>
    <row r="13" spans="2:12" x14ac:dyDescent="0.25">
      <c r="B13" s="247" t="s">
        <v>25</v>
      </c>
      <c r="C13" s="243"/>
      <c r="D13" s="243"/>
      <c r="E13" s="243"/>
      <c r="F13" s="243"/>
      <c r="G13" s="37">
        <v>0</v>
      </c>
      <c r="H13" s="37"/>
      <c r="I13" s="37"/>
      <c r="J13" s="37"/>
      <c r="K13" s="98" t="str">
        <f t="shared" si="0"/>
        <v/>
      </c>
      <c r="L13" s="98" t="str">
        <f t="shared" si="1"/>
        <v/>
      </c>
    </row>
    <row r="14" spans="2:12" ht="14.45" x14ac:dyDescent="0.3">
      <c r="B14" s="226" t="s">
        <v>1</v>
      </c>
      <c r="C14" s="227"/>
      <c r="D14" s="227"/>
      <c r="E14" s="227"/>
      <c r="F14" s="228"/>
      <c r="G14" s="35">
        <f>SUM(G15:G16)</f>
        <v>2995330.51</v>
      </c>
      <c r="H14" s="35">
        <f>SUM(H15:H16)</f>
        <v>5381305.5500000007</v>
      </c>
      <c r="I14" s="35">
        <f>SUM(I15:I16)</f>
        <v>5381305.5500000007</v>
      </c>
      <c r="J14" s="35">
        <f>SUM(J15:J16)</f>
        <v>3381054.6899999995</v>
      </c>
      <c r="K14" s="35">
        <f t="shared" si="0"/>
        <v>112.87751647813981</v>
      </c>
      <c r="L14" s="35">
        <f t="shared" si="1"/>
        <v>62.829636016486724</v>
      </c>
    </row>
    <row r="15" spans="2:12" x14ac:dyDescent="0.25">
      <c r="B15" s="248" t="s">
        <v>26</v>
      </c>
      <c r="C15" s="235"/>
      <c r="D15" s="235"/>
      <c r="E15" s="235"/>
      <c r="F15" s="235"/>
      <c r="G15" s="37">
        <v>1766378.27</v>
      </c>
      <c r="H15" s="37">
        <f>729.96+23585.06+112938.72+38642.93+14528.14+54+45923.49+4951.17+3119.1+27671.33+18060.2+132124.62+50000.12+57107.07+263764.1+10000+14585+3190795.6+1600+1100</f>
        <v>4011280.6100000003</v>
      </c>
      <c r="I15" s="37">
        <f>729.96+23585.06+112938.72+38642.93+14528.14+54+45923.49+4951.17+3119.1+27671.33+18060.2+132124.62+50000.12+57107.07+263764.1+10000+14585+3190795.6+1600+1100</f>
        <v>4011280.6100000003</v>
      </c>
      <c r="J15" s="37">
        <v>2214911.5499999998</v>
      </c>
      <c r="K15" s="32">
        <f t="shared" si="0"/>
        <v>125.3928214368262</v>
      </c>
      <c r="L15" s="32">
        <f>IFERROR(J15/H15*100,"")</f>
        <v>55.217068197081318</v>
      </c>
    </row>
    <row r="16" spans="2:12" x14ac:dyDescent="0.25">
      <c r="B16" s="247" t="s">
        <v>27</v>
      </c>
      <c r="C16" s="243"/>
      <c r="D16" s="243"/>
      <c r="E16" s="243"/>
      <c r="F16" s="243"/>
      <c r="G16" s="37">
        <v>1228952.24</v>
      </c>
      <c r="H16" s="37">
        <f>930+267+157125.28+148278.57+1063424.09</f>
        <v>1370024.94</v>
      </c>
      <c r="I16" s="37">
        <f>930+267+157125.28+148278.57+1063424.09</f>
        <v>1370024.94</v>
      </c>
      <c r="J16" s="37">
        <v>1166143.1399999999</v>
      </c>
      <c r="K16" s="32">
        <f t="shared" si="0"/>
        <v>94.889215548360113</v>
      </c>
      <c r="L16" s="32">
        <f>IFERROR(J16/H16*100,"")</f>
        <v>85.118387698839996</v>
      </c>
    </row>
    <row r="17" spans="2:23" x14ac:dyDescent="0.25">
      <c r="B17" s="236" t="s">
        <v>35</v>
      </c>
      <c r="C17" s="237"/>
      <c r="D17" s="237"/>
      <c r="E17" s="237"/>
      <c r="F17" s="237"/>
      <c r="G17" s="35">
        <f>G11-G14</f>
        <v>-749563.26999999955</v>
      </c>
      <c r="H17" s="35">
        <f>H11-H14</f>
        <v>34434.719999998808</v>
      </c>
      <c r="I17" s="35">
        <f>I11-I14</f>
        <v>34434.719999998808</v>
      </c>
      <c r="J17" s="35">
        <f>J11-J14</f>
        <v>-458539.49999999953</v>
      </c>
      <c r="K17" s="35"/>
      <c r="L17" s="35"/>
    </row>
    <row r="18" spans="2:23" ht="18" x14ac:dyDescent="0.25">
      <c r="B18" s="2"/>
      <c r="C18" s="13"/>
      <c r="D18" s="13"/>
      <c r="E18" s="13"/>
      <c r="F18" s="13"/>
      <c r="G18" s="13"/>
      <c r="H18" s="13"/>
      <c r="I18" s="14"/>
      <c r="J18" s="14"/>
      <c r="K18" s="14"/>
      <c r="L18" s="14"/>
    </row>
    <row r="19" spans="2:23" ht="18" customHeight="1" x14ac:dyDescent="0.25">
      <c r="B19" s="225" t="s">
        <v>34</v>
      </c>
      <c r="C19" s="225"/>
      <c r="D19" s="225"/>
      <c r="E19" s="225"/>
      <c r="F19" s="225"/>
      <c r="G19" s="13"/>
      <c r="H19" s="13"/>
      <c r="I19" s="14"/>
      <c r="J19" s="14"/>
      <c r="K19" s="14"/>
      <c r="L19" s="14"/>
    </row>
    <row r="20" spans="2:23" ht="25.5" x14ac:dyDescent="0.25">
      <c r="B20" s="239" t="s">
        <v>6</v>
      </c>
      <c r="C20" s="239"/>
      <c r="D20" s="239"/>
      <c r="E20" s="239"/>
      <c r="F20" s="239"/>
      <c r="G20" s="211" t="s">
        <v>229</v>
      </c>
      <c r="H20" s="222" t="s">
        <v>226</v>
      </c>
      <c r="I20" s="222" t="s">
        <v>227</v>
      </c>
      <c r="J20" s="20" t="s">
        <v>230</v>
      </c>
      <c r="K20" s="1" t="s">
        <v>10</v>
      </c>
      <c r="L20" s="1" t="s">
        <v>22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2:23" s="23" customFormat="1" ht="11.25" x14ac:dyDescent="0.2">
      <c r="B21" s="240">
        <v>1</v>
      </c>
      <c r="C21" s="240"/>
      <c r="D21" s="240"/>
      <c r="E21" s="240"/>
      <c r="F21" s="240"/>
      <c r="G21" s="22">
        <v>2</v>
      </c>
      <c r="H21" s="21">
        <v>3</v>
      </c>
      <c r="I21" s="21">
        <v>4</v>
      </c>
      <c r="J21" s="21">
        <v>5</v>
      </c>
      <c r="K21" s="21" t="s">
        <v>12</v>
      </c>
      <c r="L21" s="21" t="s">
        <v>13</v>
      </c>
    </row>
    <row r="22" spans="2:23" ht="15.75" customHeight="1" x14ac:dyDescent="0.25">
      <c r="B22" s="234" t="s">
        <v>28</v>
      </c>
      <c r="C22" s="234"/>
      <c r="D22" s="234"/>
      <c r="E22" s="234"/>
      <c r="F22" s="234"/>
      <c r="G22" s="36">
        <v>629788.57999999996</v>
      </c>
      <c r="H22" s="36"/>
      <c r="I22" s="36"/>
      <c r="J22" s="36">
        <v>0</v>
      </c>
      <c r="K22" s="15">
        <f>J22/G22*100</f>
        <v>0</v>
      </c>
      <c r="L22" s="15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2:23" x14ac:dyDescent="0.25">
      <c r="B23" s="234" t="s">
        <v>29</v>
      </c>
      <c r="C23" s="235"/>
      <c r="D23" s="235"/>
      <c r="E23" s="235"/>
      <c r="F23" s="235"/>
      <c r="G23" s="37"/>
      <c r="H23" s="36">
        <f>160118.41</f>
        <v>160118.41</v>
      </c>
      <c r="I23" s="36">
        <f>160118.41</f>
        <v>160118.41</v>
      </c>
      <c r="J23" s="36">
        <v>0</v>
      </c>
      <c r="K23" s="15"/>
      <c r="L23" s="15">
        <f t="shared" ref="L23:L26" si="2">J23/I23*100</f>
        <v>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2:23" s="31" customFormat="1" ht="15" customHeight="1" x14ac:dyDescent="0.25">
      <c r="B24" s="233" t="s">
        <v>30</v>
      </c>
      <c r="C24" s="233"/>
      <c r="D24" s="233"/>
      <c r="E24" s="233"/>
      <c r="F24" s="233"/>
      <c r="G24" s="35">
        <f>G22-G23</f>
        <v>629788.57999999996</v>
      </c>
      <c r="H24" s="35">
        <f>H22-H23</f>
        <v>-160118.41</v>
      </c>
      <c r="I24" s="35">
        <f>I22-I23</f>
        <v>-160118.41</v>
      </c>
      <c r="J24" s="35">
        <v>0</v>
      </c>
      <c r="K24" s="16">
        <f t="shared" ref="K24:K26" si="3">J24/G24*100</f>
        <v>0</v>
      </c>
      <c r="L24" s="16">
        <f t="shared" si="2"/>
        <v>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2:23" s="31" customFormat="1" ht="15" customHeight="1" x14ac:dyDescent="0.25">
      <c r="B25" s="38"/>
      <c r="C25" s="38"/>
      <c r="D25" s="38"/>
      <c r="E25" s="38"/>
      <c r="F25" s="38"/>
      <c r="G25" s="39"/>
      <c r="H25" s="39"/>
      <c r="I25" s="39"/>
      <c r="J25" s="39"/>
      <c r="K25" s="15"/>
      <c r="L25" s="15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2:23" s="31" customFormat="1" ht="15" customHeight="1" x14ac:dyDescent="0.25">
      <c r="B26" s="233" t="s">
        <v>32</v>
      </c>
      <c r="C26" s="233"/>
      <c r="D26" s="233"/>
      <c r="E26" s="233"/>
      <c r="F26" s="233"/>
      <c r="G26" s="35">
        <v>158259.23000000001</v>
      </c>
      <c r="H26" s="35">
        <v>125683.69</v>
      </c>
      <c r="I26" s="35">
        <v>125683.69</v>
      </c>
      <c r="J26" s="35">
        <v>-15640.72</v>
      </c>
      <c r="K26" s="36">
        <f t="shared" si="3"/>
        <v>-9.8829749140065939</v>
      </c>
      <c r="L26" s="36">
        <f t="shared" si="2"/>
        <v>-12.444510500924979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2:23" x14ac:dyDescent="0.25">
      <c r="B27" s="236" t="s">
        <v>38</v>
      </c>
      <c r="C27" s="237"/>
      <c r="D27" s="237"/>
      <c r="E27" s="237"/>
      <c r="F27" s="237"/>
      <c r="G27" s="35">
        <v>38484.54</v>
      </c>
      <c r="H27" s="35"/>
      <c r="I27" s="35"/>
      <c r="J27" s="35">
        <f>J17+J26</f>
        <v>-474180.21999999951</v>
      </c>
      <c r="K27" s="16"/>
      <c r="L27" s="16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2:23" ht="25.5" customHeight="1" x14ac:dyDescent="0.25">
      <c r="B28" s="10"/>
      <c r="C28" s="11"/>
      <c r="D28" s="11"/>
      <c r="E28" s="11"/>
      <c r="F28" s="11"/>
      <c r="G28" s="12"/>
      <c r="H28" s="215"/>
      <c r="I28" s="12"/>
      <c r="J28" s="12"/>
      <c r="K28" s="12"/>
    </row>
    <row r="29" spans="2:23" ht="15.75" customHeight="1" x14ac:dyDescent="0.25">
      <c r="I29" s="100"/>
    </row>
    <row r="30" spans="2:23" ht="23.25" customHeight="1" x14ac:dyDescent="0.25">
      <c r="B30" s="232" t="s">
        <v>37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</row>
    <row r="31" spans="2:23" ht="15.75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2:23" ht="15" customHeight="1" x14ac:dyDescent="0.25">
      <c r="B32" s="229" t="s">
        <v>36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</row>
    <row r="33" spans="2:12" ht="36.75" customHeight="1" x14ac:dyDescent="0.25"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</row>
    <row r="34" spans="2:12" x14ac:dyDescent="0.25">
      <c r="B34" s="231"/>
      <c r="C34" s="231"/>
      <c r="D34" s="231"/>
      <c r="E34" s="231"/>
      <c r="F34" s="231"/>
      <c r="G34" s="231"/>
      <c r="H34" s="231"/>
      <c r="I34" s="231"/>
      <c r="J34" s="231"/>
      <c r="K34" s="231"/>
    </row>
    <row r="35" spans="2:12" ht="15" customHeight="1" x14ac:dyDescent="0.25">
      <c r="B35" s="230" t="s">
        <v>231</v>
      </c>
      <c r="C35" s="230"/>
      <c r="D35" s="230"/>
      <c r="E35" s="230"/>
      <c r="F35" s="230"/>
      <c r="G35" s="230"/>
      <c r="H35" s="230"/>
      <c r="I35" s="230"/>
      <c r="J35" s="230"/>
      <c r="K35" s="230"/>
      <c r="L35" s="230"/>
    </row>
    <row r="36" spans="2:12" x14ac:dyDescent="0.25"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</row>
  </sheetData>
  <mergeCells count="27">
    <mergeCell ref="B1:L1"/>
    <mergeCell ref="B8:F8"/>
    <mergeCell ref="B20:F20"/>
    <mergeCell ref="B21:F21"/>
    <mergeCell ref="B22:F22"/>
    <mergeCell ref="B10:F10"/>
    <mergeCell ref="B11:F11"/>
    <mergeCell ref="B12:F12"/>
    <mergeCell ref="B4:K4"/>
    <mergeCell ref="B9:F9"/>
    <mergeCell ref="B5:D5"/>
    <mergeCell ref="B6:K6"/>
    <mergeCell ref="B13:F13"/>
    <mergeCell ref="B17:F17"/>
    <mergeCell ref="B15:F15"/>
    <mergeCell ref="B16:F16"/>
    <mergeCell ref="B19:F19"/>
    <mergeCell ref="B14:F14"/>
    <mergeCell ref="B32:L33"/>
    <mergeCell ref="B35:L36"/>
    <mergeCell ref="B34:F34"/>
    <mergeCell ref="G34:K34"/>
    <mergeCell ref="B30:L30"/>
    <mergeCell ref="B24:F24"/>
    <mergeCell ref="B23:F23"/>
    <mergeCell ref="B26:F26"/>
    <mergeCell ref="B27:F27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9"/>
  <sheetViews>
    <sheetView topLeftCell="A45" zoomScale="90" zoomScaleNormal="90" workbookViewId="0">
      <selection activeCell="O19" sqref="O19:O2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6.28515625" customWidth="1"/>
    <col min="6" max="6" width="45.7109375" customWidth="1"/>
    <col min="7" max="7" width="25.28515625" style="100" customWidth="1"/>
    <col min="8" max="10" width="25.28515625" customWidth="1"/>
    <col min="11" max="12" width="15.7109375" customWidth="1"/>
    <col min="15" max="15" width="12.28515625" customWidth="1"/>
    <col min="17" max="17" width="11" bestFit="1" customWidth="1"/>
  </cols>
  <sheetData>
    <row r="1" spans="1:12" ht="18" customHeight="1" x14ac:dyDescent="0.25">
      <c r="B1" s="2"/>
      <c r="C1" s="2"/>
      <c r="D1" s="2"/>
      <c r="E1" s="2"/>
      <c r="F1" s="2"/>
      <c r="G1" s="151"/>
      <c r="H1" s="2"/>
      <c r="I1" s="2"/>
      <c r="J1" s="151"/>
      <c r="K1" s="2"/>
    </row>
    <row r="2" spans="1:12" ht="15.75" customHeight="1" x14ac:dyDescent="0.25">
      <c r="B2" s="238" t="s">
        <v>8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2" ht="18" x14ac:dyDescent="0.25">
      <c r="B3" s="2"/>
      <c r="C3" s="2"/>
      <c r="D3" s="2"/>
      <c r="E3" s="2"/>
      <c r="F3" s="2"/>
      <c r="G3" s="147"/>
      <c r="H3" s="2"/>
      <c r="I3" s="2"/>
      <c r="J3" s="3"/>
      <c r="K3" s="3"/>
    </row>
    <row r="4" spans="1:12" ht="18" customHeight="1" x14ac:dyDescent="0.25">
      <c r="B4" s="238" t="s">
        <v>33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</row>
    <row r="5" spans="1:12" ht="18" x14ac:dyDescent="0.25">
      <c r="B5" s="2"/>
      <c r="C5" s="2"/>
      <c r="D5" s="2"/>
      <c r="E5" s="2"/>
      <c r="F5" s="2"/>
      <c r="G5" s="147"/>
      <c r="H5" s="2"/>
      <c r="I5" s="2"/>
      <c r="J5" s="3"/>
      <c r="K5" s="3"/>
    </row>
    <row r="6" spans="1:12" ht="15.75" customHeight="1" x14ac:dyDescent="0.25">
      <c r="B6" s="238" t="s">
        <v>11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1:12" ht="18" x14ac:dyDescent="0.25">
      <c r="B7" s="2"/>
      <c r="C7" s="2"/>
      <c r="D7" s="2"/>
      <c r="E7" s="2"/>
      <c r="F7" s="2"/>
      <c r="G7" s="147"/>
      <c r="H7" s="147"/>
      <c r="I7" s="2"/>
      <c r="J7" s="3"/>
      <c r="K7" s="3"/>
    </row>
    <row r="8" spans="1:12" ht="32.25" customHeight="1" x14ac:dyDescent="0.25">
      <c r="B8" s="249" t="s">
        <v>6</v>
      </c>
      <c r="C8" s="250"/>
      <c r="D8" s="250"/>
      <c r="E8" s="250"/>
      <c r="F8" s="251"/>
      <c r="G8" s="223" t="s">
        <v>211</v>
      </c>
      <c r="H8" s="146" t="s">
        <v>226</v>
      </c>
      <c r="I8" s="146" t="s">
        <v>227</v>
      </c>
      <c r="J8" s="146" t="s">
        <v>230</v>
      </c>
      <c r="K8" s="29" t="s">
        <v>10</v>
      </c>
      <c r="L8" s="29" t="s">
        <v>22</v>
      </c>
    </row>
    <row r="9" spans="1:12" x14ac:dyDescent="0.25">
      <c r="A9" s="23"/>
      <c r="B9" s="252">
        <v>1</v>
      </c>
      <c r="C9" s="253"/>
      <c r="D9" s="253"/>
      <c r="E9" s="253"/>
      <c r="F9" s="254"/>
      <c r="G9" s="148">
        <v>2</v>
      </c>
      <c r="H9" s="30">
        <v>3</v>
      </c>
      <c r="I9" s="30">
        <v>4</v>
      </c>
      <c r="J9" s="30">
        <v>5</v>
      </c>
      <c r="K9" s="30" t="s">
        <v>12</v>
      </c>
      <c r="L9" s="30" t="s">
        <v>13</v>
      </c>
    </row>
    <row r="10" spans="1:12" x14ac:dyDescent="0.25">
      <c r="A10" s="31"/>
      <c r="B10" s="53"/>
      <c r="C10" s="53"/>
      <c r="D10" s="53"/>
      <c r="E10" s="53"/>
      <c r="F10" s="53" t="s">
        <v>23</v>
      </c>
      <c r="G10" s="67">
        <f>G11+G40</f>
        <v>2245767.2399999998</v>
      </c>
      <c r="H10" s="67">
        <f>H11</f>
        <v>5415740.2700000005</v>
      </c>
      <c r="I10" s="67">
        <f>I11</f>
        <v>5273143.1300000008</v>
      </c>
      <c r="J10" s="55">
        <f>J11+J40</f>
        <v>2922515.19</v>
      </c>
      <c r="K10" s="85">
        <f>IFERROR(J10/G10*100,"")</f>
        <v>130.13437625886823</v>
      </c>
      <c r="L10" s="85">
        <f>IFERROR(J10/I10*100,"")</f>
        <v>55.422641069103683</v>
      </c>
    </row>
    <row r="11" spans="1:12" ht="15.75" customHeight="1" x14ac:dyDescent="0.25">
      <c r="A11" s="31"/>
      <c r="B11" s="50">
        <v>6</v>
      </c>
      <c r="C11" s="50"/>
      <c r="D11" s="50"/>
      <c r="E11" s="50"/>
      <c r="F11" s="50" t="s">
        <v>2</v>
      </c>
      <c r="G11" s="66">
        <f>G12+G23+G29+G36+G26</f>
        <v>2245767.2399999998</v>
      </c>
      <c r="H11" s="66">
        <f>H12+H23+H29+H36+H26</f>
        <v>5415740.2700000005</v>
      </c>
      <c r="I11" s="66">
        <f>I12+I23+I29+I36+I26</f>
        <v>5273143.1300000008</v>
      </c>
      <c r="J11" s="56">
        <f>J12+J23+J29+J36+J26</f>
        <v>2922515.19</v>
      </c>
      <c r="K11" s="86">
        <f>IFERROR(J11/G11*100,"")</f>
        <v>130.13437625886823</v>
      </c>
      <c r="L11" s="86">
        <f>IFERROR(J11/I11*100,"")</f>
        <v>55.422641069103683</v>
      </c>
    </row>
    <row r="12" spans="1:12" ht="25.5" x14ac:dyDescent="0.25">
      <c r="A12" s="31"/>
      <c r="B12" s="44"/>
      <c r="C12" s="45">
        <v>63</v>
      </c>
      <c r="D12" s="45"/>
      <c r="E12" s="45"/>
      <c r="F12" s="45" t="s">
        <v>14</v>
      </c>
      <c r="G12" s="65">
        <f>SUM(G13+G15+G18+G20)</f>
        <v>1805358.92</v>
      </c>
      <c r="H12" s="65">
        <f>H15+H18+H20+H13</f>
        <v>4389005.49</v>
      </c>
      <c r="I12" s="65">
        <f>I15+I18+I20+I13</f>
        <v>4335203.6900000004</v>
      </c>
      <c r="J12" s="61">
        <f>J13+J15+J18+J20</f>
        <v>2151745.71</v>
      </c>
      <c r="K12" s="87">
        <f>IFERROR(J12/G12*100,"")</f>
        <v>119.18658867013548</v>
      </c>
      <c r="L12" s="87">
        <f>IFERROR(J12/I12*100,"")</f>
        <v>49.634247058873484</v>
      </c>
    </row>
    <row r="13" spans="1:12" ht="25.5" x14ac:dyDescent="0.25">
      <c r="A13" s="31"/>
      <c r="B13" s="44"/>
      <c r="C13" s="45"/>
      <c r="D13" s="45">
        <v>632</v>
      </c>
      <c r="E13" s="45"/>
      <c r="F13" s="45" t="s">
        <v>143</v>
      </c>
      <c r="G13" s="65">
        <f>SUM(G14)</f>
        <v>7680</v>
      </c>
      <c r="H13" s="65">
        <f t="shared" ref="H13:L13" si="0">SUM(H14)</f>
        <v>0</v>
      </c>
      <c r="I13" s="65">
        <f t="shared" si="0"/>
        <v>0</v>
      </c>
      <c r="J13" s="65">
        <f t="shared" si="0"/>
        <v>0</v>
      </c>
      <c r="K13" s="65">
        <f t="shared" si="0"/>
        <v>0</v>
      </c>
      <c r="L13" s="65">
        <f t="shared" si="0"/>
        <v>0</v>
      </c>
    </row>
    <row r="14" spans="1:12" x14ac:dyDescent="0.25">
      <c r="A14" s="31"/>
      <c r="B14" s="5"/>
      <c r="C14" s="8"/>
      <c r="D14" s="8"/>
      <c r="E14" s="8">
        <v>6321</v>
      </c>
      <c r="F14" s="8" t="s">
        <v>144</v>
      </c>
      <c r="G14" s="135">
        <v>7680</v>
      </c>
      <c r="H14" s="98"/>
      <c r="I14" s="98"/>
      <c r="J14" s="135"/>
      <c r="K14" s="123"/>
      <c r="L14" s="123"/>
    </row>
    <row r="15" spans="1:12" x14ac:dyDescent="0.25">
      <c r="A15" s="31"/>
      <c r="B15" s="40"/>
      <c r="C15" s="40"/>
      <c r="D15" s="40">
        <v>636</v>
      </c>
      <c r="E15" s="40"/>
      <c r="F15" s="40" t="s">
        <v>40</v>
      </c>
      <c r="G15" s="58">
        <f>SUM(G16:G17)</f>
        <v>1407860.92</v>
      </c>
      <c r="H15" s="58">
        <f>SUM(H16:H17)</f>
        <v>4255203.6900000004</v>
      </c>
      <c r="I15" s="58">
        <f>SUM(I16:I17)</f>
        <v>4255203.6900000004</v>
      </c>
      <c r="J15" s="58">
        <f>SUM(J16:J17)</f>
        <v>2122146.5699999998</v>
      </c>
      <c r="K15" s="81">
        <f>IFERROR(J15/G15*100,"")</f>
        <v>150.73552648936374</v>
      </c>
      <c r="L15" s="81">
        <f>IFERROR(J15/I15*100,"")</f>
        <v>49.871797559002388</v>
      </c>
    </row>
    <row r="16" spans="1:12" x14ac:dyDescent="0.25">
      <c r="A16" s="31"/>
      <c r="B16" s="6"/>
      <c r="C16" s="6"/>
      <c r="D16" s="6"/>
      <c r="E16" s="6">
        <v>6361</v>
      </c>
      <c r="F16" s="6" t="s">
        <v>41</v>
      </c>
      <c r="G16" s="63">
        <v>1407860.92</v>
      </c>
      <c r="H16" s="32">
        <f>4255203.69-1197-1063424.09</f>
        <v>3190582.6000000006</v>
      </c>
      <c r="I16" s="32">
        <f>4255203.69-1197-1063424.09</f>
        <v>3190582.6000000006</v>
      </c>
      <c r="J16" s="63">
        <v>2122146.5699999998</v>
      </c>
      <c r="K16" s="82">
        <f>IFERROR(J16/G16*100,"")</f>
        <v>150.73552648936374</v>
      </c>
      <c r="L16" s="82">
        <f>IFERROR(J16/I16*100,"")</f>
        <v>66.512823394699112</v>
      </c>
    </row>
    <row r="17" spans="1:17" x14ac:dyDescent="0.25">
      <c r="A17" s="31"/>
      <c r="B17" s="6"/>
      <c r="C17" s="6"/>
      <c r="D17" s="6"/>
      <c r="E17" s="6">
        <v>6362</v>
      </c>
      <c r="F17" s="6" t="s">
        <v>77</v>
      </c>
      <c r="G17" s="32"/>
      <c r="H17" s="32">
        <f>1197+1063424.09</f>
        <v>1064621.0900000001</v>
      </c>
      <c r="I17" s="32">
        <f>1197+1063424.09</f>
        <v>1064621.0900000001</v>
      </c>
      <c r="J17" s="34">
        <v>0</v>
      </c>
      <c r="K17" s="83" t="str">
        <f>IFERROR(J17/G17*100,"")</f>
        <v/>
      </c>
      <c r="L17" s="83">
        <f>IFERROR(J17/I17*100,"")</f>
        <v>0</v>
      </c>
    </row>
    <row r="18" spans="1:17" s="88" customFormat="1" x14ac:dyDescent="0.25">
      <c r="A18" s="104"/>
      <c r="B18" s="136"/>
      <c r="C18" s="136"/>
      <c r="D18" s="137">
        <v>638</v>
      </c>
      <c r="E18" s="136"/>
      <c r="F18" s="137" t="s">
        <v>116</v>
      </c>
      <c r="G18" s="138">
        <f>G19</f>
        <v>368822.1</v>
      </c>
      <c r="H18" s="138">
        <f>H19</f>
        <v>80000</v>
      </c>
      <c r="I18" s="138">
        <f>I19</f>
        <v>80000</v>
      </c>
      <c r="J18" s="138">
        <f>J19</f>
        <v>2784.41</v>
      </c>
      <c r="K18" s="105"/>
      <c r="L18" s="105"/>
    </row>
    <row r="19" spans="1:17" x14ac:dyDescent="0.25">
      <c r="A19" s="31"/>
      <c r="B19" s="6"/>
      <c r="C19" s="6"/>
      <c r="D19" s="6"/>
      <c r="E19" s="6">
        <v>6381</v>
      </c>
      <c r="F19" s="6" t="s">
        <v>117</v>
      </c>
      <c r="G19" s="34">
        <v>368822.1</v>
      </c>
      <c r="H19" s="32">
        <v>80000</v>
      </c>
      <c r="I19" s="32">
        <v>80000</v>
      </c>
      <c r="J19" s="34">
        <v>2784.41</v>
      </c>
      <c r="K19" s="83"/>
      <c r="L19" s="83"/>
    </row>
    <row r="20" spans="1:17" ht="25.5" x14ac:dyDescent="0.25">
      <c r="A20" s="31"/>
      <c r="B20" s="139"/>
      <c r="C20" s="139"/>
      <c r="D20" s="139">
        <v>639</v>
      </c>
      <c r="E20" s="139"/>
      <c r="F20" s="140" t="s">
        <v>145</v>
      </c>
      <c r="G20" s="141">
        <f>SUM(G21:G22)</f>
        <v>20995.9</v>
      </c>
      <c r="H20" s="141">
        <f>SUM(H21:H22)</f>
        <v>53801.8</v>
      </c>
      <c r="I20" s="141">
        <f>SUM(I21:I22)</f>
        <v>0</v>
      </c>
      <c r="J20" s="141">
        <f>SUM(J21:J22)</f>
        <v>26814.73</v>
      </c>
      <c r="K20" s="83"/>
      <c r="L20" s="83"/>
      <c r="O20" s="100"/>
    </row>
    <row r="21" spans="1:17" ht="25.5" x14ac:dyDescent="0.25">
      <c r="A21" s="31"/>
      <c r="B21" s="6"/>
      <c r="C21" s="6"/>
      <c r="D21" s="6"/>
      <c r="E21" s="6">
        <v>6391</v>
      </c>
      <c r="F21" s="24" t="s">
        <v>146</v>
      </c>
      <c r="G21" s="34">
        <v>1573.32</v>
      </c>
      <c r="H21" s="32">
        <f>4951.17+3119.1</f>
        <v>8070.27</v>
      </c>
      <c r="I21" s="32"/>
      <c r="J21" s="34">
        <v>4022.2</v>
      </c>
      <c r="K21" s="83"/>
      <c r="L21" s="83"/>
    </row>
    <row r="22" spans="1:17" ht="25.5" x14ac:dyDescent="0.25">
      <c r="A22" s="31"/>
      <c r="B22" s="6"/>
      <c r="C22" s="6"/>
      <c r="D22" s="6"/>
      <c r="E22" s="6">
        <v>6393</v>
      </c>
      <c r="F22" s="24" t="s">
        <v>147</v>
      </c>
      <c r="G22" s="34">
        <v>19422.580000000002</v>
      </c>
      <c r="H22" s="32">
        <f>27671.33+18060.2</f>
        <v>45731.53</v>
      </c>
      <c r="I22" s="32"/>
      <c r="J22" s="34">
        <v>22792.53</v>
      </c>
      <c r="K22" s="83"/>
      <c r="L22" s="83"/>
    </row>
    <row r="23" spans="1:17" x14ac:dyDescent="0.25">
      <c r="A23" s="31"/>
      <c r="B23" s="46"/>
      <c r="C23" s="46">
        <v>64</v>
      </c>
      <c r="D23" s="46"/>
      <c r="E23" s="46"/>
      <c r="F23" s="46" t="s">
        <v>88</v>
      </c>
      <c r="G23" s="65">
        <f>G24</f>
        <v>0.52</v>
      </c>
      <c r="H23" s="65">
        <v>0.12</v>
      </c>
      <c r="I23" s="65">
        <v>0.12</v>
      </c>
      <c r="J23" s="65">
        <f>J24</f>
        <v>1.81</v>
      </c>
      <c r="K23" s="87">
        <f t="shared" ref="K23:K34" si="1">IFERROR(J23/G23*100,"")</f>
        <v>348.07692307692309</v>
      </c>
      <c r="L23" s="87">
        <f t="shared" ref="L23:L43" si="2">IFERROR(J23/I23*100,"")</f>
        <v>1508.3333333333335</v>
      </c>
    </row>
    <row r="24" spans="1:17" x14ac:dyDescent="0.25">
      <c r="A24" s="31"/>
      <c r="B24" s="40"/>
      <c r="C24" s="40"/>
      <c r="D24" s="40">
        <v>641</v>
      </c>
      <c r="E24" s="40"/>
      <c r="F24" s="40" t="s">
        <v>127</v>
      </c>
      <c r="G24" s="58">
        <f>G25</f>
        <v>0.52</v>
      </c>
      <c r="H24" s="58">
        <v>0.12</v>
      </c>
      <c r="I24" s="58">
        <v>0.12</v>
      </c>
      <c r="J24" s="58">
        <f>J25</f>
        <v>1.81</v>
      </c>
      <c r="K24" s="81">
        <f t="shared" si="1"/>
        <v>348.07692307692309</v>
      </c>
      <c r="L24" s="81">
        <f t="shared" si="2"/>
        <v>1508.3333333333335</v>
      </c>
    </row>
    <row r="25" spans="1:17" x14ac:dyDescent="0.25">
      <c r="A25" s="31"/>
      <c r="B25" s="6"/>
      <c r="C25" s="6"/>
      <c r="D25" s="6"/>
      <c r="E25" s="6">
        <v>6413</v>
      </c>
      <c r="F25" s="6" t="s">
        <v>128</v>
      </c>
      <c r="G25" s="63">
        <v>0.52</v>
      </c>
      <c r="H25" s="32">
        <v>0.12</v>
      </c>
      <c r="I25" s="32">
        <v>0.12</v>
      </c>
      <c r="J25" s="63">
        <v>1.81</v>
      </c>
      <c r="K25" s="82">
        <f t="shared" si="1"/>
        <v>348.07692307692309</v>
      </c>
      <c r="L25" s="82">
        <f t="shared" si="2"/>
        <v>1508.3333333333335</v>
      </c>
    </row>
    <row r="26" spans="1:17" x14ac:dyDescent="0.25">
      <c r="A26" s="31"/>
      <c r="B26" s="46"/>
      <c r="C26" s="46">
        <v>65</v>
      </c>
      <c r="D26" s="46"/>
      <c r="E26" s="46"/>
      <c r="F26" s="46"/>
      <c r="G26" s="65">
        <f>G27</f>
        <v>420</v>
      </c>
      <c r="H26" s="65">
        <f>H27</f>
        <v>10000</v>
      </c>
      <c r="I26" s="65">
        <f>I27</f>
        <v>10000</v>
      </c>
      <c r="J26" s="65">
        <f>J27</f>
        <v>1494.43</v>
      </c>
      <c r="K26" s="87">
        <f t="shared" si="1"/>
        <v>355.81666666666666</v>
      </c>
      <c r="L26" s="87">
        <f t="shared" si="2"/>
        <v>14.944299999999998</v>
      </c>
    </row>
    <row r="27" spans="1:17" x14ac:dyDescent="0.25">
      <c r="A27" s="31"/>
      <c r="B27" s="40"/>
      <c r="C27" s="40"/>
      <c r="D27" s="40">
        <v>652</v>
      </c>
      <c r="E27" s="40"/>
      <c r="F27" s="40" t="s">
        <v>119</v>
      </c>
      <c r="G27" s="58">
        <f>SUM(G28:G28)</f>
        <v>420</v>
      </c>
      <c r="H27" s="58">
        <f>SUM(H28:H28)</f>
        <v>10000</v>
      </c>
      <c r="I27" s="58">
        <f>SUM(I28:I28)</f>
        <v>10000</v>
      </c>
      <c r="J27" s="58">
        <f>SUM(J28:J28)</f>
        <v>1494.43</v>
      </c>
      <c r="K27" s="81">
        <f t="shared" si="1"/>
        <v>355.81666666666666</v>
      </c>
      <c r="L27" s="81">
        <f t="shared" si="2"/>
        <v>14.944299999999998</v>
      </c>
    </row>
    <row r="28" spans="1:17" x14ac:dyDescent="0.25">
      <c r="A28" s="31"/>
      <c r="B28" s="6"/>
      <c r="C28" s="6"/>
      <c r="D28" s="6"/>
      <c r="E28" s="6">
        <v>6526</v>
      </c>
      <c r="F28" s="6" t="s">
        <v>118</v>
      </c>
      <c r="G28" s="63">
        <v>420</v>
      </c>
      <c r="H28" s="32">
        <v>10000</v>
      </c>
      <c r="I28" s="32">
        <v>10000</v>
      </c>
      <c r="J28" s="63">
        <v>1494.43</v>
      </c>
      <c r="K28" s="82">
        <f t="shared" si="1"/>
        <v>355.81666666666666</v>
      </c>
      <c r="L28" s="82">
        <f t="shared" si="2"/>
        <v>14.944299999999998</v>
      </c>
    </row>
    <row r="29" spans="1:17" ht="25.5" x14ac:dyDescent="0.25">
      <c r="A29" s="31"/>
      <c r="B29" s="46"/>
      <c r="C29" s="46">
        <v>66</v>
      </c>
      <c r="D29" s="47"/>
      <c r="E29" s="47"/>
      <c r="F29" s="45" t="s">
        <v>15</v>
      </c>
      <c r="G29" s="65">
        <f>G33+G30</f>
        <v>35558.42</v>
      </c>
      <c r="H29" s="65">
        <f>H33+H30</f>
        <v>50000</v>
      </c>
      <c r="I29" s="65">
        <f>I33+I30</f>
        <v>50000</v>
      </c>
      <c r="J29" s="65">
        <f>J33+J30</f>
        <v>39188.300000000003</v>
      </c>
      <c r="K29" s="87">
        <f t="shared" si="1"/>
        <v>110.20821510067096</v>
      </c>
      <c r="L29" s="82">
        <f t="shared" si="2"/>
        <v>78.37660000000001</v>
      </c>
    </row>
    <row r="30" spans="1:17" x14ac:dyDescent="0.25">
      <c r="A30" s="31"/>
      <c r="B30" s="106"/>
      <c r="C30" s="107"/>
      <c r="D30" s="108">
        <v>661</v>
      </c>
      <c r="E30" s="108"/>
      <c r="F30" s="109" t="s">
        <v>120</v>
      </c>
      <c r="G30" s="110">
        <f>SUM(G31:G32)</f>
        <v>34683.42</v>
      </c>
      <c r="H30" s="110">
        <f t="shared" ref="H30:J30" si="3">SUM(H31:H32)</f>
        <v>50000</v>
      </c>
      <c r="I30" s="110">
        <f t="shared" ref="I30" si="4">SUM(I31:I32)</f>
        <v>50000</v>
      </c>
      <c r="J30" s="110">
        <f t="shared" si="3"/>
        <v>39188.300000000003</v>
      </c>
      <c r="K30" s="112"/>
      <c r="L30" s="82">
        <f>IFERROR(J30/I30*100,"")</f>
        <v>78.37660000000001</v>
      </c>
    </row>
    <row r="31" spans="1:17" x14ac:dyDescent="0.25">
      <c r="A31" s="31"/>
      <c r="B31" s="6"/>
      <c r="C31" s="19"/>
      <c r="D31" s="7"/>
      <c r="E31" s="7">
        <v>6614</v>
      </c>
      <c r="F31" s="8" t="s">
        <v>121</v>
      </c>
      <c r="G31" s="32">
        <v>0</v>
      </c>
      <c r="H31" s="32"/>
      <c r="I31" s="32"/>
      <c r="J31" s="34"/>
      <c r="K31" s="83"/>
      <c r="L31" s="82" t="str">
        <f>IFERROR(J31/I31*100,"")</f>
        <v/>
      </c>
    </row>
    <row r="32" spans="1:17" x14ac:dyDescent="0.25">
      <c r="A32" s="31"/>
      <c r="B32" s="6"/>
      <c r="C32" s="6"/>
      <c r="D32" s="7"/>
      <c r="E32" s="7">
        <v>6615</v>
      </c>
      <c r="F32" s="8" t="s">
        <v>122</v>
      </c>
      <c r="G32" s="34">
        <v>34683.42</v>
      </c>
      <c r="H32" s="32">
        <v>50000</v>
      </c>
      <c r="I32" s="32">
        <v>50000</v>
      </c>
      <c r="J32" s="34">
        <v>39188.300000000003</v>
      </c>
      <c r="K32" s="83">
        <f>IFERROR(J32/G32*100,"")</f>
        <v>112.98856917801072</v>
      </c>
      <c r="L32" s="82">
        <f>IFERROR(J32/I32*100,"")</f>
        <v>78.37660000000001</v>
      </c>
      <c r="O32" s="100"/>
      <c r="Q32" s="100"/>
    </row>
    <row r="33" spans="1:12" x14ac:dyDescent="0.25">
      <c r="A33" s="31"/>
      <c r="B33" s="40"/>
      <c r="C33" s="41"/>
      <c r="D33" s="42">
        <v>663</v>
      </c>
      <c r="E33" s="42"/>
      <c r="F33" s="43" t="s">
        <v>42</v>
      </c>
      <c r="G33" s="58">
        <f>SUM(G34:G35)</f>
        <v>875</v>
      </c>
      <c r="H33" s="58">
        <f t="shared" ref="H33" si="5">SUM(H34:H35)</f>
        <v>0</v>
      </c>
      <c r="I33" s="58">
        <f t="shared" ref="I33" si="6">SUM(I34:I35)</f>
        <v>0</v>
      </c>
      <c r="J33" s="59"/>
      <c r="K33" s="81">
        <f t="shared" si="1"/>
        <v>0</v>
      </c>
      <c r="L33" s="82" t="str">
        <f t="shared" si="2"/>
        <v/>
      </c>
    </row>
    <row r="34" spans="1:12" x14ac:dyDescent="0.25">
      <c r="A34" s="31"/>
      <c r="B34" s="6"/>
      <c r="C34" s="19"/>
      <c r="D34" s="7"/>
      <c r="E34" s="7">
        <v>6631</v>
      </c>
      <c r="F34" s="8" t="s">
        <v>43</v>
      </c>
      <c r="G34" s="34">
        <v>875</v>
      </c>
      <c r="H34" s="32"/>
      <c r="I34" s="32"/>
      <c r="J34" s="34"/>
      <c r="K34" s="83">
        <f t="shared" si="1"/>
        <v>0</v>
      </c>
      <c r="L34" s="82" t="str">
        <f t="shared" si="2"/>
        <v/>
      </c>
    </row>
    <row r="35" spans="1:12" x14ac:dyDescent="0.25">
      <c r="A35" s="31"/>
      <c r="B35" s="6"/>
      <c r="C35" s="19"/>
      <c r="D35" s="7"/>
      <c r="E35" s="7">
        <v>6632</v>
      </c>
      <c r="F35" s="8" t="s">
        <v>133</v>
      </c>
      <c r="G35" s="32"/>
      <c r="H35" s="32"/>
      <c r="I35" s="32"/>
      <c r="J35" s="34"/>
      <c r="K35" s="83"/>
      <c r="L35" s="82" t="str">
        <f t="shared" si="2"/>
        <v/>
      </c>
    </row>
    <row r="36" spans="1:12" x14ac:dyDescent="0.25">
      <c r="A36" s="31"/>
      <c r="B36" s="48"/>
      <c r="C36" s="46">
        <v>67</v>
      </c>
      <c r="D36" s="47"/>
      <c r="E36" s="47"/>
      <c r="F36" s="45" t="s">
        <v>45</v>
      </c>
      <c r="G36" s="65">
        <f>G37</f>
        <v>404429.38</v>
      </c>
      <c r="H36" s="65">
        <f t="shared" ref="H36:J36" si="7">H37</f>
        <v>966734.66</v>
      </c>
      <c r="I36" s="65">
        <f t="shared" si="7"/>
        <v>877939.32</v>
      </c>
      <c r="J36" s="65">
        <f t="shared" si="7"/>
        <v>730084.94</v>
      </c>
      <c r="K36" s="87">
        <f t="shared" ref="K36:K40" si="8">IFERROR(J36/G36*100,"")</f>
        <v>180.52223110002541</v>
      </c>
      <c r="L36" s="82">
        <f t="shared" si="2"/>
        <v>83.158929480456578</v>
      </c>
    </row>
    <row r="37" spans="1:12" x14ac:dyDescent="0.25">
      <c r="A37" s="31"/>
      <c r="B37" s="40"/>
      <c r="C37" s="40"/>
      <c r="D37" s="42">
        <v>671</v>
      </c>
      <c r="E37" s="42"/>
      <c r="F37" s="62" t="s">
        <v>45</v>
      </c>
      <c r="G37" s="58">
        <f>SUM(G38:G39)</f>
        <v>404429.38</v>
      </c>
      <c r="H37" s="58">
        <f>SUM(H38:H39)</f>
        <v>966734.66</v>
      </c>
      <c r="I37" s="58">
        <f>SUM(I38)</f>
        <v>877939.32</v>
      </c>
      <c r="J37" s="58">
        <f>SUM(J38:J39)</f>
        <v>730084.94</v>
      </c>
      <c r="K37" s="81">
        <f t="shared" si="8"/>
        <v>180.52223110002541</v>
      </c>
      <c r="L37" s="82">
        <f t="shared" si="2"/>
        <v>83.158929480456578</v>
      </c>
    </row>
    <row r="38" spans="1:12" x14ac:dyDescent="0.25">
      <c r="B38" s="6"/>
      <c r="C38" s="6"/>
      <c r="D38" s="6"/>
      <c r="E38" s="6">
        <v>6711</v>
      </c>
      <c r="F38" s="24" t="s">
        <v>46</v>
      </c>
      <c r="G38" s="34">
        <v>404429.38</v>
      </c>
      <c r="H38" s="32">
        <f>729.96+23585.06+311700.06+14528.14+263764.1+1100+45923.49</f>
        <v>661330.81000000006</v>
      </c>
      <c r="I38" s="32">
        <f>729.96+23585.06+311700.06+14528.14+99725.29+263764.1+1100+162806.71</f>
        <v>877939.32</v>
      </c>
      <c r="J38" s="34">
        <v>313761.39</v>
      </c>
      <c r="K38" s="83">
        <f t="shared" si="8"/>
        <v>77.581255347967058</v>
      </c>
      <c r="L38" s="82">
        <f t="shared" si="2"/>
        <v>35.738391350327042</v>
      </c>
    </row>
    <row r="39" spans="1:12" x14ac:dyDescent="0.25">
      <c r="B39" s="6"/>
      <c r="C39" s="6"/>
      <c r="D39" s="6"/>
      <c r="E39" s="6">
        <v>6712</v>
      </c>
      <c r="F39" s="24" t="s">
        <v>44</v>
      </c>
      <c r="G39" s="32"/>
      <c r="H39" s="32">
        <f>157125.28+148278.57</f>
        <v>305403.84999999998</v>
      </c>
      <c r="I39" s="32">
        <f>157125.28+148278.57</f>
        <v>305403.84999999998</v>
      </c>
      <c r="J39" s="32">
        <v>416323.55</v>
      </c>
      <c r="K39" s="83" t="str">
        <f t="shared" si="8"/>
        <v/>
      </c>
      <c r="L39" s="82">
        <f t="shared" si="2"/>
        <v>136.31902479290946</v>
      </c>
    </row>
    <row r="40" spans="1:12" x14ac:dyDescent="0.25">
      <c r="B40" s="115">
        <v>7</v>
      </c>
      <c r="C40" s="113"/>
      <c r="D40" s="113"/>
      <c r="E40" s="113"/>
      <c r="F40" s="116" t="s">
        <v>123</v>
      </c>
      <c r="G40" s="149">
        <f>G41</f>
        <v>0</v>
      </c>
      <c r="H40" s="66"/>
      <c r="I40" s="66"/>
      <c r="J40" s="56">
        <v>0</v>
      </c>
      <c r="K40" s="114" t="str">
        <f t="shared" si="8"/>
        <v/>
      </c>
      <c r="L40" s="82" t="str">
        <f t="shared" si="2"/>
        <v/>
      </c>
    </row>
    <row r="41" spans="1:12" x14ac:dyDescent="0.25">
      <c r="B41" s="6"/>
      <c r="C41" s="6">
        <v>72</v>
      </c>
      <c r="D41" s="6"/>
      <c r="E41" s="6"/>
      <c r="F41" s="24" t="s">
        <v>126</v>
      </c>
      <c r="G41" s="32">
        <f>G42</f>
        <v>0</v>
      </c>
      <c r="H41" s="32"/>
      <c r="I41" s="32"/>
      <c r="J41" s="34"/>
      <c r="K41" s="83"/>
      <c r="L41" s="82" t="str">
        <f t="shared" si="2"/>
        <v/>
      </c>
    </row>
    <row r="42" spans="1:12" x14ac:dyDescent="0.25">
      <c r="B42" s="6"/>
      <c r="C42" s="6"/>
      <c r="D42" s="6">
        <v>721</v>
      </c>
      <c r="E42" s="6"/>
      <c r="F42" s="24" t="s">
        <v>124</v>
      </c>
      <c r="G42" s="32"/>
      <c r="H42" s="32"/>
      <c r="I42" s="32"/>
      <c r="J42" s="34"/>
      <c r="K42" s="83"/>
      <c r="L42" s="82" t="str">
        <f t="shared" si="2"/>
        <v/>
      </c>
    </row>
    <row r="43" spans="1:12" x14ac:dyDescent="0.25">
      <c r="B43" s="6"/>
      <c r="C43" s="6"/>
      <c r="D43" s="6"/>
      <c r="E43" s="6">
        <v>7211</v>
      </c>
      <c r="F43" s="24" t="s">
        <v>125</v>
      </c>
      <c r="G43" s="32"/>
      <c r="H43" s="32"/>
      <c r="I43" s="32"/>
      <c r="J43" s="34"/>
      <c r="K43" s="83" t="str">
        <f>IFERROR(J43/G43*100,"")</f>
        <v/>
      </c>
      <c r="L43" s="82" t="str">
        <f t="shared" si="2"/>
        <v/>
      </c>
    </row>
    <row r="44" spans="1:12" ht="15.75" customHeight="1" x14ac:dyDescent="0.25">
      <c r="H44" s="100"/>
    </row>
    <row r="45" spans="1:12" ht="15.75" customHeight="1" x14ac:dyDescent="0.25">
      <c r="B45" s="2"/>
      <c r="C45" s="2"/>
      <c r="D45" s="2"/>
      <c r="E45" s="2"/>
      <c r="F45" s="2"/>
      <c r="G45" s="147"/>
      <c r="H45" s="2"/>
      <c r="I45" s="2"/>
      <c r="J45" s="3"/>
      <c r="K45" s="3"/>
      <c r="L45" s="3"/>
    </row>
    <row r="46" spans="1:12" ht="33" customHeight="1" x14ac:dyDescent="0.25">
      <c r="B46" s="249" t="s">
        <v>6</v>
      </c>
      <c r="C46" s="250"/>
      <c r="D46" s="250"/>
      <c r="E46" s="250"/>
      <c r="F46" s="251"/>
      <c r="G46" s="223" t="s">
        <v>211</v>
      </c>
      <c r="H46" s="146" t="s">
        <v>226</v>
      </c>
      <c r="I46" s="146" t="s">
        <v>227</v>
      </c>
      <c r="J46" s="146" t="s">
        <v>228</v>
      </c>
      <c r="K46" s="29" t="s">
        <v>10</v>
      </c>
      <c r="L46" s="29" t="s">
        <v>22</v>
      </c>
    </row>
    <row r="47" spans="1:12" x14ac:dyDescent="0.25">
      <c r="A47" s="23"/>
      <c r="B47" s="252">
        <v>1</v>
      </c>
      <c r="C47" s="253"/>
      <c r="D47" s="253"/>
      <c r="E47" s="253"/>
      <c r="F47" s="254"/>
      <c r="G47" s="213">
        <v>2</v>
      </c>
      <c r="H47" s="212">
        <v>4</v>
      </c>
      <c r="I47" s="212">
        <v>3</v>
      </c>
      <c r="J47" s="212">
        <v>5</v>
      </c>
      <c r="K47" s="30" t="s">
        <v>12</v>
      </c>
      <c r="L47" s="30" t="s">
        <v>13</v>
      </c>
    </row>
    <row r="48" spans="1:12" x14ac:dyDescent="0.25">
      <c r="A48" s="31"/>
      <c r="B48" s="53"/>
      <c r="C48" s="53"/>
      <c r="D48" s="53"/>
      <c r="E48" s="53"/>
      <c r="F48" s="53" t="s">
        <v>20</v>
      </c>
      <c r="G48" s="55">
        <f>G49+G117</f>
        <v>2995330.51</v>
      </c>
      <c r="H48" s="67">
        <f>H49+H117+H134</f>
        <v>5541423.9574000007</v>
      </c>
      <c r="I48" s="67">
        <f>I49+I117+I134</f>
        <v>5541423.9574000007</v>
      </c>
      <c r="J48" s="55">
        <f>J49+J117</f>
        <v>3381054.6899999995</v>
      </c>
      <c r="K48" s="85">
        <f t="shared" ref="K48:K80" si="9">IFERROR(J48/G48*100,"")</f>
        <v>112.87751647813981</v>
      </c>
      <c r="L48" s="85">
        <f t="shared" ref="L48:L80" si="10">IFERROR(J48/I48*100,"")</f>
        <v>61.014185451105028</v>
      </c>
    </row>
    <row r="49" spans="1:12" x14ac:dyDescent="0.25">
      <c r="A49" s="31"/>
      <c r="B49" s="50">
        <v>3</v>
      </c>
      <c r="C49" s="50"/>
      <c r="D49" s="50"/>
      <c r="E49" s="50"/>
      <c r="F49" s="50" t="s">
        <v>3</v>
      </c>
      <c r="G49" s="56">
        <f>G50+G58+G91+G106+G110+G98+G101</f>
        <v>1766378.27</v>
      </c>
      <c r="H49" s="66">
        <f>H50+H58+H91+H98+H101+H106+H110</f>
        <v>4011280.6074000006</v>
      </c>
      <c r="I49" s="66">
        <f>I50+I58+I91+I98+I101+I106+I110</f>
        <v>4011280.6074000006</v>
      </c>
      <c r="J49" s="56">
        <f>J50+J58+J91+J106+J110+J98+J101</f>
        <v>2214911.5499999998</v>
      </c>
      <c r="K49" s="86">
        <f t="shared" si="9"/>
        <v>125.3928214368262</v>
      </c>
      <c r="L49" s="86">
        <f t="shared" si="10"/>
        <v>55.217068232871483</v>
      </c>
    </row>
    <row r="50" spans="1:12" x14ac:dyDescent="0.25">
      <c r="A50" s="31"/>
      <c r="B50" s="44"/>
      <c r="C50" s="44">
        <v>31</v>
      </c>
      <c r="D50" s="45"/>
      <c r="E50" s="45"/>
      <c r="F50" s="45" t="s">
        <v>4</v>
      </c>
      <c r="G50" s="61">
        <f>G51+G53+G55</f>
        <v>1413354.06</v>
      </c>
      <c r="H50" s="199">
        <f>H51+H53+H55</f>
        <v>3349796.7274000002</v>
      </c>
      <c r="I50" s="199">
        <f>I51+I53+I55</f>
        <v>3349796.7274000002</v>
      </c>
      <c r="J50" s="61">
        <f>J51+J53+J55</f>
        <v>1863982.68</v>
      </c>
      <c r="K50" s="87">
        <f t="shared" si="9"/>
        <v>131.88363289521382</v>
      </c>
      <c r="L50" s="87">
        <f t="shared" si="10"/>
        <v>55.644650457544657</v>
      </c>
    </row>
    <row r="51" spans="1:12" x14ac:dyDescent="0.25">
      <c r="A51" s="68"/>
      <c r="B51" s="40"/>
      <c r="C51" s="40"/>
      <c r="D51" s="40">
        <v>311</v>
      </c>
      <c r="E51" s="40"/>
      <c r="F51" s="40" t="s">
        <v>16</v>
      </c>
      <c r="G51" s="57">
        <f>G52</f>
        <v>1175184.44</v>
      </c>
      <c r="H51" s="57">
        <f>H52</f>
        <v>2769896.7274000002</v>
      </c>
      <c r="I51" s="57">
        <f>I52</f>
        <v>2769896.7274000002</v>
      </c>
      <c r="J51" s="57">
        <f>J52</f>
        <v>1556881.16</v>
      </c>
      <c r="K51" s="84">
        <f t="shared" si="9"/>
        <v>132.47972888408904</v>
      </c>
      <c r="L51" s="84">
        <f t="shared" si="10"/>
        <v>56.207191575022605</v>
      </c>
    </row>
    <row r="52" spans="1:12" x14ac:dyDescent="0.25">
      <c r="A52" s="31"/>
      <c r="B52" s="6"/>
      <c r="C52" s="6"/>
      <c r="D52" s="6"/>
      <c r="E52" s="6">
        <v>3111</v>
      </c>
      <c r="F52" s="6" t="s">
        <v>17</v>
      </c>
      <c r="G52" s="34">
        <v>1175184.44</v>
      </c>
      <c r="H52" s="32">
        <f>2233574.79+2233574.79*6%+1571.79+400735.66</f>
        <v>2769896.7274000002</v>
      </c>
      <c r="I52" s="32">
        <f>2233574.79+2233574.79*6%+1571.79+400735.66</f>
        <v>2769896.7274000002</v>
      </c>
      <c r="J52" s="34">
        <v>1556881.16</v>
      </c>
      <c r="K52" s="83">
        <f t="shared" si="9"/>
        <v>132.47972888408904</v>
      </c>
      <c r="L52" s="83">
        <f t="shared" si="10"/>
        <v>56.207191575022605</v>
      </c>
    </row>
    <row r="53" spans="1:12" x14ac:dyDescent="0.25">
      <c r="A53" s="31"/>
      <c r="B53" s="40"/>
      <c r="C53" s="40"/>
      <c r="D53" s="40">
        <v>312</v>
      </c>
      <c r="E53" s="40"/>
      <c r="F53" s="40"/>
      <c r="G53" s="58">
        <f>G54</f>
        <v>46240.55</v>
      </c>
      <c r="H53" s="58">
        <f>H54</f>
        <v>110000</v>
      </c>
      <c r="I53" s="58">
        <f>I54</f>
        <v>110000</v>
      </c>
      <c r="J53" s="58">
        <f>J54</f>
        <v>51001.85</v>
      </c>
      <c r="K53" s="81">
        <f t="shared" si="9"/>
        <v>110.29680659075206</v>
      </c>
      <c r="L53" s="81">
        <f t="shared" si="10"/>
        <v>46.365318181818182</v>
      </c>
    </row>
    <row r="54" spans="1:12" x14ac:dyDescent="0.25">
      <c r="A54" s="31"/>
      <c r="B54" s="6"/>
      <c r="C54" s="6"/>
      <c r="D54" s="6"/>
      <c r="E54" s="6">
        <v>3121</v>
      </c>
      <c r="F54" s="6" t="s">
        <v>47</v>
      </c>
      <c r="G54" s="34">
        <v>46240.55</v>
      </c>
      <c r="H54" s="32">
        <v>110000</v>
      </c>
      <c r="I54" s="32">
        <v>110000</v>
      </c>
      <c r="J54" s="34">
        <v>51001.85</v>
      </c>
      <c r="K54" s="83">
        <f t="shared" si="9"/>
        <v>110.29680659075206</v>
      </c>
      <c r="L54" s="83">
        <f t="shared" si="10"/>
        <v>46.365318181818182</v>
      </c>
    </row>
    <row r="55" spans="1:12" x14ac:dyDescent="0.25">
      <c r="A55" s="31"/>
      <c r="B55" s="40"/>
      <c r="C55" s="40"/>
      <c r="D55" s="40">
        <v>313</v>
      </c>
      <c r="E55" s="40"/>
      <c r="F55" s="40" t="s">
        <v>48</v>
      </c>
      <c r="G55" s="58">
        <f t="shared" ref="G55" si="11">SUM(G56:G57)</f>
        <v>191929.07</v>
      </c>
      <c r="H55" s="58">
        <f t="shared" ref="H55" si="12">SUM(H56:H57)</f>
        <v>469900</v>
      </c>
      <c r="I55" s="58">
        <f t="shared" ref="I55:J55" si="13">SUM(I56:I57)</f>
        <v>469900</v>
      </c>
      <c r="J55" s="58">
        <f t="shared" si="13"/>
        <v>256099.67</v>
      </c>
      <c r="K55" s="81">
        <f t="shared" si="9"/>
        <v>133.43453912427128</v>
      </c>
      <c r="L55" s="81">
        <f t="shared" si="10"/>
        <v>54.500887422855925</v>
      </c>
    </row>
    <row r="56" spans="1:12" x14ac:dyDescent="0.25">
      <c r="A56" s="31"/>
      <c r="B56" s="6"/>
      <c r="C56" s="6"/>
      <c r="D56" s="6"/>
      <c r="E56" s="6">
        <v>3132</v>
      </c>
      <c r="F56" s="6" t="s">
        <v>49</v>
      </c>
      <c r="G56" s="34">
        <v>191923.91</v>
      </c>
      <c r="H56" s="32">
        <f>365000+365000*6%+83000</f>
        <v>469900</v>
      </c>
      <c r="I56" s="32">
        <f>365000+365000*6%+83000</f>
        <v>469900</v>
      </c>
      <c r="J56" s="34">
        <v>256099.67</v>
      </c>
      <c r="K56" s="83">
        <f t="shared" si="9"/>
        <v>133.43812659923404</v>
      </c>
      <c r="L56" s="83">
        <f t="shared" si="10"/>
        <v>54.500887422855925</v>
      </c>
    </row>
    <row r="57" spans="1:12" x14ac:dyDescent="0.25">
      <c r="A57" s="31"/>
      <c r="B57" s="6"/>
      <c r="C57" s="6"/>
      <c r="D57" s="6"/>
      <c r="E57" s="6">
        <v>3133</v>
      </c>
      <c r="F57" s="6" t="s">
        <v>50</v>
      </c>
      <c r="G57" s="34">
        <v>5.16</v>
      </c>
      <c r="H57" s="32"/>
      <c r="I57" s="32"/>
      <c r="J57" s="34"/>
      <c r="K57" s="83">
        <f t="shared" si="9"/>
        <v>0</v>
      </c>
      <c r="L57" s="83" t="str">
        <f t="shared" si="10"/>
        <v/>
      </c>
    </row>
    <row r="58" spans="1:12" x14ac:dyDescent="0.25">
      <c r="A58" s="31"/>
      <c r="B58" s="46"/>
      <c r="C58" s="48">
        <v>32</v>
      </c>
      <c r="D58" s="47"/>
      <c r="E58" s="47"/>
      <c r="F58" s="46" t="s">
        <v>9</v>
      </c>
      <c r="G58" s="65">
        <f>G59+G64+G71+G83</f>
        <v>256197.95999999996</v>
      </c>
      <c r="H58" s="65">
        <f>H59+H64+H71+H83</f>
        <v>621486.94999999995</v>
      </c>
      <c r="I58" s="65">
        <f>I59+I64+I71+I83</f>
        <v>621486.94999999995</v>
      </c>
      <c r="J58" s="65">
        <f>J59+J64+J71+J83</f>
        <v>329328.14</v>
      </c>
      <c r="K58" s="87">
        <f t="shared" si="9"/>
        <v>128.54440371031842</v>
      </c>
      <c r="L58" s="87">
        <f t="shared" si="10"/>
        <v>52.990354825632302</v>
      </c>
    </row>
    <row r="59" spans="1:12" x14ac:dyDescent="0.25">
      <c r="A59" s="31"/>
      <c r="B59" s="40"/>
      <c r="C59" s="40"/>
      <c r="D59" s="40">
        <v>321</v>
      </c>
      <c r="E59" s="40"/>
      <c r="F59" s="40" t="s">
        <v>18</v>
      </c>
      <c r="G59" s="58">
        <f>SUM(G60:G63)</f>
        <v>35358.18</v>
      </c>
      <c r="H59" s="58">
        <f>SUM(H60:H63)</f>
        <v>70819.41</v>
      </c>
      <c r="I59" s="58">
        <f>SUM(I60:I63)</f>
        <v>70819.41</v>
      </c>
      <c r="J59" s="58">
        <f>SUM(J60:J63)</f>
        <v>48455.93</v>
      </c>
      <c r="K59" s="81">
        <f t="shared" si="9"/>
        <v>137.04305481786676</v>
      </c>
      <c r="L59" s="81">
        <f t="shared" si="10"/>
        <v>68.421821079842374</v>
      </c>
    </row>
    <row r="60" spans="1:12" x14ac:dyDescent="0.25">
      <c r="A60" s="31"/>
      <c r="B60" s="6"/>
      <c r="C60" s="19"/>
      <c r="D60" s="6"/>
      <c r="E60" s="6">
        <v>3211</v>
      </c>
      <c r="F60" s="24" t="s">
        <v>19</v>
      </c>
      <c r="G60" s="34">
        <v>18730.669999999998</v>
      </c>
      <c r="H60" s="32">
        <v>40000</v>
      </c>
      <c r="I60" s="32">
        <v>40000</v>
      </c>
      <c r="J60" s="34">
        <v>24867.3</v>
      </c>
      <c r="K60" s="83">
        <f t="shared" si="9"/>
        <v>132.7624692549706</v>
      </c>
      <c r="L60" s="83">
        <f t="shared" si="10"/>
        <v>62.16825</v>
      </c>
    </row>
    <row r="61" spans="1:12" x14ac:dyDescent="0.25">
      <c r="A61" s="31"/>
      <c r="B61" s="6"/>
      <c r="C61" s="19"/>
      <c r="D61" s="7"/>
      <c r="E61" s="7">
        <v>3212</v>
      </c>
      <c r="F61" s="7" t="s">
        <v>51</v>
      </c>
      <c r="G61" s="34">
        <v>16026.51</v>
      </c>
      <c r="H61" s="32">
        <v>30319.41</v>
      </c>
      <c r="I61" s="32">
        <v>30319.41</v>
      </c>
      <c r="J61" s="34">
        <v>22898.63</v>
      </c>
      <c r="K61" s="83">
        <f t="shared" si="9"/>
        <v>142.87970369094708</v>
      </c>
      <c r="L61" s="83">
        <f t="shared" si="10"/>
        <v>75.524655657877247</v>
      </c>
    </row>
    <row r="62" spans="1:12" x14ac:dyDescent="0.25">
      <c r="A62" s="31"/>
      <c r="B62" s="6"/>
      <c r="C62" s="19"/>
      <c r="D62" s="7"/>
      <c r="E62" s="7">
        <v>3213</v>
      </c>
      <c r="F62" s="7" t="s">
        <v>52</v>
      </c>
      <c r="G62" s="34">
        <v>601</v>
      </c>
      <c r="H62" s="32">
        <v>500</v>
      </c>
      <c r="I62" s="32">
        <v>500</v>
      </c>
      <c r="J62" s="34">
        <v>690</v>
      </c>
      <c r="K62" s="83">
        <f t="shared" si="9"/>
        <v>114.80865224625624</v>
      </c>
      <c r="L62" s="83">
        <f t="shared" si="10"/>
        <v>138</v>
      </c>
    </row>
    <row r="63" spans="1:12" x14ac:dyDescent="0.25">
      <c r="A63" s="31"/>
      <c r="B63" s="6"/>
      <c r="C63" s="19"/>
      <c r="D63" s="7"/>
      <c r="E63" s="7">
        <v>3214</v>
      </c>
      <c r="F63" s="7" t="s">
        <v>134</v>
      </c>
      <c r="G63" s="34"/>
      <c r="H63" s="32"/>
      <c r="I63" s="32"/>
      <c r="J63" s="34"/>
      <c r="K63" s="83" t="str">
        <f t="shared" si="9"/>
        <v/>
      </c>
      <c r="L63" s="83" t="str">
        <f t="shared" si="10"/>
        <v/>
      </c>
    </row>
    <row r="64" spans="1:12" x14ac:dyDescent="0.25">
      <c r="A64" s="31"/>
      <c r="B64" s="40"/>
      <c r="C64" s="41"/>
      <c r="D64" s="42">
        <v>322</v>
      </c>
      <c r="E64" s="42"/>
      <c r="F64" s="42" t="s">
        <v>99</v>
      </c>
      <c r="G64" s="59">
        <f>SUM(G65:G70)</f>
        <v>51458.389999999992</v>
      </c>
      <c r="H64" s="58">
        <f>SUM(H65:H70)</f>
        <v>113806.38</v>
      </c>
      <c r="I64" s="58">
        <f>SUM(I65:I70)</f>
        <v>113806.38</v>
      </c>
      <c r="J64" s="59">
        <f>SUM(J65:J70)</f>
        <v>53692.78</v>
      </c>
      <c r="K64" s="81">
        <f t="shared" si="9"/>
        <v>104.34212963133905</v>
      </c>
      <c r="L64" s="83">
        <f t="shared" si="10"/>
        <v>47.179059732855045</v>
      </c>
    </row>
    <row r="65" spans="1:12" x14ac:dyDescent="0.25">
      <c r="A65" s="31"/>
      <c r="B65" s="6"/>
      <c r="C65" s="19"/>
      <c r="D65" s="7"/>
      <c r="E65" s="7">
        <v>3221</v>
      </c>
      <c r="F65" s="7" t="s">
        <v>53</v>
      </c>
      <c r="G65" s="34">
        <v>23344.69</v>
      </c>
      <c r="H65" s="32">
        <v>35000</v>
      </c>
      <c r="I65" s="32">
        <v>35000</v>
      </c>
      <c r="J65" s="34">
        <v>22220.2</v>
      </c>
      <c r="K65" s="83">
        <f t="shared" si="9"/>
        <v>95.183101596123151</v>
      </c>
      <c r="L65" s="83">
        <f t="shared" si="10"/>
        <v>63.486285714285714</v>
      </c>
    </row>
    <row r="66" spans="1:12" x14ac:dyDescent="0.25">
      <c r="A66" s="31"/>
      <c r="B66" s="6"/>
      <c r="C66" s="19"/>
      <c r="D66" s="7"/>
      <c r="E66" s="7">
        <v>3222</v>
      </c>
      <c r="F66" s="7" t="s">
        <v>129</v>
      </c>
      <c r="G66" s="34">
        <v>245.56</v>
      </c>
      <c r="H66" s="32"/>
      <c r="I66" s="32"/>
      <c r="J66" s="34">
        <v>266.16000000000003</v>
      </c>
      <c r="K66" s="83">
        <f t="shared" si="9"/>
        <v>108.38898843459847</v>
      </c>
      <c r="L66" s="83" t="str">
        <f t="shared" si="10"/>
        <v/>
      </c>
    </row>
    <row r="67" spans="1:12" x14ac:dyDescent="0.25">
      <c r="A67" s="31"/>
      <c r="B67" s="6"/>
      <c r="C67" s="19"/>
      <c r="D67" s="7"/>
      <c r="E67" s="7">
        <v>3223</v>
      </c>
      <c r="F67" s="7" t="s">
        <v>54</v>
      </c>
      <c r="G67" s="34">
        <v>24030.73</v>
      </c>
      <c r="H67" s="32">
        <f>43096.04+23570</f>
        <v>66666.040000000008</v>
      </c>
      <c r="I67" s="32">
        <f>43096.04+23570</f>
        <v>66666.040000000008</v>
      </c>
      <c r="J67" s="34">
        <v>24561.03</v>
      </c>
      <c r="K67" s="83">
        <f t="shared" si="9"/>
        <v>102.20675776391313</v>
      </c>
      <c r="L67" s="83">
        <f t="shared" si="10"/>
        <v>36.841891313778341</v>
      </c>
    </row>
    <row r="68" spans="1:12" x14ac:dyDescent="0.25">
      <c r="A68" s="31"/>
      <c r="B68" s="6"/>
      <c r="C68" s="19"/>
      <c r="D68" s="7"/>
      <c r="E68" s="7">
        <v>3224</v>
      </c>
      <c r="F68" s="7" t="s">
        <v>55</v>
      </c>
      <c r="G68" s="34">
        <v>2298.5</v>
      </c>
      <c r="H68" s="32">
        <v>9981.68</v>
      </c>
      <c r="I68" s="32">
        <v>9981.68</v>
      </c>
      <c r="J68" s="34">
        <v>6128.59</v>
      </c>
      <c r="K68" s="83">
        <f t="shared" si="9"/>
        <v>266.63432673482703</v>
      </c>
      <c r="L68" s="83">
        <f>IFERROR(J68/I68*100,"")</f>
        <v>61.398381835522677</v>
      </c>
    </row>
    <row r="69" spans="1:12" x14ac:dyDescent="0.25">
      <c r="A69" s="31"/>
      <c r="B69" s="6"/>
      <c r="C69" s="19"/>
      <c r="D69" s="7"/>
      <c r="E69" s="7">
        <v>3225</v>
      </c>
      <c r="F69" s="7" t="s">
        <v>90</v>
      </c>
      <c r="G69" s="34">
        <v>401.96</v>
      </c>
      <c r="H69" s="32">
        <v>2000</v>
      </c>
      <c r="I69" s="32">
        <v>2000</v>
      </c>
      <c r="J69" s="34">
        <v>439.8</v>
      </c>
      <c r="K69" s="83">
        <f t="shared" si="9"/>
        <v>109.41387202706738</v>
      </c>
      <c r="L69" s="83">
        <f t="shared" si="10"/>
        <v>21.990000000000002</v>
      </c>
    </row>
    <row r="70" spans="1:12" x14ac:dyDescent="0.25">
      <c r="A70" s="31"/>
      <c r="B70" s="6"/>
      <c r="C70" s="19"/>
      <c r="D70" s="7"/>
      <c r="E70" s="7">
        <v>3227</v>
      </c>
      <c r="F70" s="7" t="s">
        <v>56</v>
      </c>
      <c r="G70" s="34">
        <v>1136.95</v>
      </c>
      <c r="H70" s="32">
        <v>158.66</v>
      </c>
      <c r="I70" s="32">
        <v>158.66</v>
      </c>
      <c r="J70" s="34">
        <v>77</v>
      </c>
      <c r="K70" s="83">
        <f t="shared" si="9"/>
        <v>6.7725053872201944</v>
      </c>
      <c r="L70" s="83">
        <f t="shared" si="10"/>
        <v>48.531450901298371</v>
      </c>
    </row>
    <row r="71" spans="1:12" x14ac:dyDescent="0.25">
      <c r="A71" s="31"/>
      <c r="B71" s="40"/>
      <c r="C71" s="41"/>
      <c r="D71" s="42">
        <v>323</v>
      </c>
      <c r="E71" s="42"/>
      <c r="F71" s="42" t="s">
        <v>100</v>
      </c>
      <c r="G71" s="59">
        <f>SUM(G72:G80)</f>
        <v>156459.63999999998</v>
      </c>
      <c r="H71" s="58">
        <f>SUM(H72:H80)</f>
        <v>341391.16</v>
      </c>
      <c r="I71" s="58">
        <f>SUM(I72:I80)</f>
        <v>341391.16</v>
      </c>
      <c r="J71" s="59">
        <f>SUM(J72:J80)</f>
        <v>174607.2</v>
      </c>
      <c r="K71" s="81">
        <f t="shared" si="9"/>
        <v>111.59887623415217</v>
      </c>
      <c r="L71" s="81">
        <f t="shared" si="10"/>
        <v>51.145788309222773</v>
      </c>
    </row>
    <row r="72" spans="1:12" x14ac:dyDescent="0.25">
      <c r="A72" s="31"/>
      <c r="B72" s="6"/>
      <c r="C72" s="19"/>
      <c r="D72" s="7"/>
      <c r="E72" s="7">
        <v>3231</v>
      </c>
      <c r="F72" s="7" t="s">
        <v>57</v>
      </c>
      <c r="G72" s="34">
        <v>2388.06</v>
      </c>
      <c r="H72" s="32">
        <v>5000</v>
      </c>
      <c r="I72" s="32">
        <v>5000</v>
      </c>
      <c r="J72" s="34">
        <v>5534.38</v>
      </c>
      <c r="K72" s="83">
        <f t="shared" si="9"/>
        <v>231.75213353098334</v>
      </c>
      <c r="L72" s="83">
        <f t="shared" si="10"/>
        <v>110.6876</v>
      </c>
    </row>
    <row r="73" spans="1:12" x14ac:dyDescent="0.25">
      <c r="A73" s="31"/>
      <c r="B73" s="6"/>
      <c r="C73" s="19"/>
      <c r="D73" s="7"/>
      <c r="E73" s="7">
        <v>3232</v>
      </c>
      <c r="F73" s="7" t="s">
        <v>245</v>
      </c>
      <c r="G73" s="34">
        <v>1362.53</v>
      </c>
      <c r="H73" s="32">
        <v>8000</v>
      </c>
      <c r="I73" s="32">
        <v>8000</v>
      </c>
      <c r="J73" s="34">
        <v>14252.25</v>
      </c>
      <c r="K73" s="83">
        <f t="shared" si="9"/>
        <v>1046.0136657541484</v>
      </c>
      <c r="L73" s="83">
        <f t="shared" si="10"/>
        <v>178.15312499999999</v>
      </c>
    </row>
    <row r="74" spans="1:12" x14ac:dyDescent="0.25">
      <c r="A74" s="31"/>
      <c r="B74" s="6"/>
      <c r="C74" s="19"/>
      <c r="D74" s="7"/>
      <c r="E74" s="7">
        <v>3233</v>
      </c>
      <c r="F74" s="7" t="s">
        <v>58</v>
      </c>
      <c r="G74" s="34">
        <v>646.25</v>
      </c>
      <c r="H74" s="32">
        <v>2000</v>
      </c>
      <c r="I74" s="32">
        <v>2000</v>
      </c>
      <c r="J74" s="34">
        <v>3090</v>
      </c>
      <c r="K74" s="83">
        <f t="shared" si="9"/>
        <v>478.14313346228244</v>
      </c>
      <c r="L74" s="83">
        <f t="shared" si="10"/>
        <v>154.5</v>
      </c>
    </row>
    <row r="75" spans="1:12" x14ac:dyDescent="0.25">
      <c r="A75" s="31"/>
      <c r="B75" s="6"/>
      <c r="C75" s="19"/>
      <c r="D75" s="7"/>
      <c r="E75" s="7">
        <v>3234</v>
      </c>
      <c r="F75" s="7" t="s">
        <v>59</v>
      </c>
      <c r="G75" s="34">
        <v>8180.74</v>
      </c>
      <c r="H75" s="32">
        <v>10000</v>
      </c>
      <c r="I75" s="32">
        <v>10000</v>
      </c>
      <c r="J75" s="34">
        <v>8568.56</v>
      </c>
      <c r="K75" s="83">
        <f t="shared" si="9"/>
        <v>104.74064693414043</v>
      </c>
      <c r="L75" s="83">
        <f t="shared" si="10"/>
        <v>85.685599999999994</v>
      </c>
    </row>
    <row r="76" spans="1:12" x14ac:dyDescent="0.25">
      <c r="A76" s="31"/>
      <c r="B76" s="6"/>
      <c r="C76" s="19"/>
      <c r="D76" s="7"/>
      <c r="E76" s="7">
        <v>3235</v>
      </c>
      <c r="F76" s="7" t="s">
        <v>60</v>
      </c>
      <c r="G76" s="34">
        <v>39741.129999999997</v>
      </c>
      <c r="H76" s="32">
        <v>67720.3</v>
      </c>
      <c r="I76" s="32">
        <v>67720.3</v>
      </c>
      <c r="J76" s="34">
        <v>39011.089999999997</v>
      </c>
      <c r="K76" s="83">
        <f t="shared" si="9"/>
        <v>98.163011469477595</v>
      </c>
      <c r="L76" s="83">
        <f t="shared" si="10"/>
        <v>57.60619784614066</v>
      </c>
    </row>
    <row r="77" spans="1:12" x14ac:dyDescent="0.25">
      <c r="A77" s="31"/>
      <c r="B77" s="6"/>
      <c r="C77" s="19"/>
      <c r="D77" s="7"/>
      <c r="E77" s="7">
        <v>3236</v>
      </c>
      <c r="F77" s="7" t="s">
        <v>91</v>
      </c>
      <c r="G77" s="34"/>
      <c r="H77" s="32">
        <v>6530.07</v>
      </c>
      <c r="I77" s="32">
        <v>6530.07</v>
      </c>
      <c r="J77" s="34">
        <v>60</v>
      </c>
      <c r="K77" s="83" t="str">
        <f t="shared" si="9"/>
        <v/>
      </c>
      <c r="L77" s="83">
        <f t="shared" si="10"/>
        <v>0.9188262912954992</v>
      </c>
    </row>
    <row r="78" spans="1:12" x14ac:dyDescent="0.25">
      <c r="A78" s="31"/>
      <c r="B78" s="6"/>
      <c r="C78" s="19"/>
      <c r="D78" s="7"/>
      <c r="E78" s="7">
        <v>3237</v>
      </c>
      <c r="F78" s="7" t="s">
        <v>61</v>
      </c>
      <c r="G78" s="34">
        <v>73554.75</v>
      </c>
      <c r="H78" s="32">
        <v>130000</v>
      </c>
      <c r="I78" s="32">
        <v>130000</v>
      </c>
      <c r="J78" s="34">
        <v>88719.78</v>
      </c>
      <c r="K78" s="83">
        <f t="shared" si="9"/>
        <v>120.61733606599165</v>
      </c>
      <c r="L78" s="83">
        <f t="shared" si="10"/>
        <v>68.245984615384614</v>
      </c>
    </row>
    <row r="79" spans="1:12" x14ac:dyDescent="0.25">
      <c r="A79" s="31"/>
      <c r="B79" s="6"/>
      <c r="C79" s="19"/>
      <c r="D79" s="7"/>
      <c r="E79" s="7">
        <v>3238</v>
      </c>
      <c r="F79" s="7" t="s">
        <v>62</v>
      </c>
      <c r="G79" s="34">
        <v>1093.48</v>
      </c>
      <c r="H79" s="32">
        <v>15000</v>
      </c>
      <c r="I79" s="32">
        <v>15000</v>
      </c>
      <c r="J79" s="34">
        <v>2728.23</v>
      </c>
      <c r="K79" s="83">
        <f t="shared" si="9"/>
        <v>249.49976222701829</v>
      </c>
      <c r="L79" s="83">
        <f t="shared" si="10"/>
        <v>18.188199999999998</v>
      </c>
    </row>
    <row r="80" spans="1:12" x14ac:dyDescent="0.25">
      <c r="A80" s="31"/>
      <c r="B80" s="6"/>
      <c r="C80" s="19"/>
      <c r="D80" s="7"/>
      <c r="E80" s="7">
        <v>3239</v>
      </c>
      <c r="F80" s="7" t="s">
        <v>63</v>
      </c>
      <c r="G80" s="34">
        <v>29492.7</v>
      </c>
      <c r="H80" s="32">
        <f>100000-2643.21-216</f>
        <v>97140.79</v>
      </c>
      <c r="I80" s="32">
        <f>100000-2643.21-216</f>
        <v>97140.79</v>
      </c>
      <c r="J80" s="34">
        <v>12642.91</v>
      </c>
      <c r="K80" s="83">
        <f t="shared" si="9"/>
        <v>42.86793003014305</v>
      </c>
      <c r="L80" s="83">
        <f t="shared" si="10"/>
        <v>13.015037246454348</v>
      </c>
    </row>
    <row r="81" spans="1:12" x14ac:dyDescent="0.25">
      <c r="A81" s="31"/>
      <c r="B81" s="106"/>
      <c r="C81" s="107"/>
      <c r="D81" s="108">
        <v>324</v>
      </c>
      <c r="E81" s="108"/>
      <c r="F81" s="108" t="s">
        <v>161</v>
      </c>
      <c r="G81" s="150">
        <v>0</v>
      </c>
      <c r="H81" s="110">
        <v>0</v>
      </c>
      <c r="I81" s="110">
        <v>0</v>
      </c>
      <c r="J81" s="150">
        <v>0</v>
      </c>
      <c r="K81" s="112"/>
      <c r="L81" s="112"/>
    </row>
    <row r="82" spans="1:12" x14ac:dyDescent="0.25">
      <c r="A82" s="31"/>
      <c r="B82" s="6"/>
      <c r="C82" s="19"/>
      <c r="D82" s="7"/>
      <c r="E82" s="7">
        <v>3241</v>
      </c>
      <c r="F82" s="7" t="s">
        <v>161</v>
      </c>
      <c r="G82" s="144"/>
      <c r="H82" s="32"/>
      <c r="I82" s="32"/>
      <c r="J82" s="144"/>
      <c r="K82" s="83"/>
      <c r="L82" s="83"/>
    </row>
    <row r="83" spans="1:12" x14ac:dyDescent="0.25">
      <c r="A83" s="31"/>
      <c r="B83" s="40"/>
      <c r="C83" s="41"/>
      <c r="D83" s="42">
        <v>329</v>
      </c>
      <c r="E83" s="42"/>
      <c r="F83" s="42" t="s">
        <v>98</v>
      </c>
      <c r="G83" s="59">
        <f>SUM(G84:G90)</f>
        <v>12921.75</v>
      </c>
      <c r="H83" s="58">
        <f>SUM(H84:H90)</f>
        <v>95470</v>
      </c>
      <c r="I83" s="58">
        <f>SUM(I84:I90)</f>
        <v>95470</v>
      </c>
      <c r="J83" s="59">
        <f>SUM(J84:J90)</f>
        <v>52572.229999999996</v>
      </c>
      <c r="K83" s="81">
        <f t="shared" ref="K83:K93" si="14">IFERROR(J83/G83*100,"")</f>
        <v>406.85069746744824</v>
      </c>
      <c r="L83" s="81">
        <f t="shared" ref="L83:L93" si="15">IFERROR(J83/I83*100,"")</f>
        <v>55.066753954121708</v>
      </c>
    </row>
    <row r="84" spans="1:12" x14ac:dyDescent="0.25">
      <c r="A84" s="31"/>
      <c r="B84" s="6"/>
      <c r="C84" s="19"/>
      <c r="D84" s="7"/>
      <c r="E84" s="7">
        <v>3291</v>
      </c>
      <c r="F84" s="7" t="s">
        <v>92</v>
      </c>
      <c r="G84" s="34"/>
      <c r="H84" s="32"/>
      <c r="I84" s="32"/>
      <c r="J84" s="34">
        <v>210</v>
      </c>
      <c r="K84" s="83" t="str">
        <f t="shared" si="14"/>
        <v/>
      </c>
      <c r="L84" s="83" t="str">
        <f t="shared" si="15"/>
        <v/>
      </c>
    </row>
    <row r="85" spans="1:12" x14ac:dyDescent="0.25">
      <c r="A85" s="31"/>
      <c r="B85" s="6"/>
      <c r="C85" s="19"/>
      <c r="D85" s="7"/>
      <c r="E85" s="7">
        <v>3292</v>
      </c>
      <c r="F85" s="7" t="s">
        <v>93</v>
      </c>
      <c r="G85" s="34"/>
      <c r="H85" s="32"/>
      <c r="I85" s="32"/>
      <c r="J85" s="34"/>
      <c r="K85" s="83" t="str">
        <f t="shared" si="14"/>
        <v/>
      </c>
      <c r="L85" s="83" t="str">
        <f t="shared" si="15"/>
        <v/>
      </c>
    </row>
    <row r="86" spans="1:12" x14ac:dyDescent="0.25">
      <c r="A86" s="31"/>
      <c r="B86" s="6"/>
      <c r="C86" s="19"/>
      <c r="D86" s="7"/>
      <c r="E86" s="7">
        <v>3293</v>
      </c>
      <c r="F86" s="7" t="s">
        <v>94</v>
      </c>
      <c r="G86" s="34">
        <v>2739.82</v>
      </c>
      <c r="H86" s="32">
        <v>15000</v>
      </c>
      <c r="I86" s="32">
        <v>15000</v>
      </c>
      <c r="J86" s="34">
        <v>13659.29</v>
      </c>
      <c r="K86" s="83">
        <f t="shared" si="14"/>
        <v>498.54698483842003</v>
      </c>
      <c r="L86" s="83">
        <f t="shared" si="15"/>
        <v>91.061933333333329</v>
      </c>
    </row>
    <row r="87" spans="1:12" x14ac:dyDescent="0.25">
      <c r="A87" s="31"/>
      <c r="B87" s="6"/>
      <c r="C87" s="19"/>
      <c r="D87" s="7"/>
      <c r="E87" s="7">
        <v>3294</v>
      </c>
      <c r="F87" s="7" t="s">
        <v>95</v>
      </c>
      <c r="G87" s="34">
        <v>200</v>
      </c>
      <c r="H87" s="32">
        <v>200</v>
      </c>
      <c r="I87" s="32">
        <v>200</v>
      </c>
      <c r="J87" s="34">
        <v>205</v>
      </c>
      <c r="K87" s="83">
        <f t="shared" si="14"/>
        <v>102.49999999999999</v>
      </c>
      <c r="L87" s="83">
        <f t="shared" si="15"/>
        <v>102.49999999999999</v>
      </c>
    </row>
    <row r="88" spans="1:12" x14ac:dyDescent="0.25">
      <c r="A88" s="31"/>
      <c r="B88" s="6"/>
      <c r="C88" s="19"/>
      <c r="D88" s="7"/>
      <c r="E88" s="7">
        <v>3295</v>
      </c>
      <c r="F88" s="7" t="s">
        <v>96</v>
      </c>
      <c r="G88" s="34">
        <v>3036.9</v>
      </c>
      <c r="H88" s="32">
        <v>5000</v>
      </c>
      <c r="I88" s="32">
        <v>5000</v>
      </c>
      <c r="J88" s="34">
        <v>2848.74</v>
      </c>
      <c r="K88" s="83">
        <f t="shared" si="14"/>
        <v>93.804208238664415</v>
      </c>
      <c r="L88" s="83">
        <f t="shared" si="15"/>
        <v>56.974799999999995</v>
      </c>
    </row>
    <row r="89" spans="1:12" x14ac:dyDescent="0.25">
      <c r="A89" s="31"/>
      <c r="B89" s="6"/>
      <c r="C89" s="19"/>
      <c r="D89" s="7"/>
      <c r="E89" s="7">
        <v>3296</v>
      </c>
      <c r="F89" s="7" t="s">
        <v>97</v>
      </c>
      <c r="G89" s="34">
        <v>248.86</v>
      </c>
      <c r="H89" s="32"/>
      <c r="I89" s="32"/>
      <c r="J89" s="34"/>
      <c r="K89" s="83">
        <f t="shared" si="14"/>
        <v>0</v>
      </c>
      <c r="L89" s="83" t="str">
        <f t="shared" si="15"/>
        <v/>
      </c>
    </row>
    <row r="90" spans="1:12" x14ac:dyDescent="0.25">
      <c r="A90" s="31"/>
      <c r="B90" s="6"/>
      <c r="C90" s="19"/>
      <c r="D90" s="7"/>
      <c r="E90" s="7">
        <v>3299</v>
      </c>
      <c r="F90" s="7" t="s">
        <v>98</v>
      </c>
      <c r="G90" s="144">
        <v>6696.17</v>
      </c>
      <c r="H90" s="32">
        <f>70000+270+5000</f>
        <v>75270</v>
      </c>
      <c r="I90" s="32">
        <f>70000+270+5000</f>
        <v>75270</v>
      </c>
      <c r="J90" s="144">
        <v>35649.199999999997</v>
      </c>
      <c r="K90" s="83">
        <f t="shared" si="14"/>
        <v>532.38194370811959</v>
      </c>
      <c r="L90" s="83">
        <f t="shared" si="15"/>
        <v>47.361764315132184</v>
      </c>
    </row>
    <row r="91" spans="1:12" x14ac:dyDescent="0.25">
      <c r="A91" s="31"/>
      <c r="B91" s="46"/>
      <c r="C91" s="48">
        <v>34</v>
      </c>
      <c r="D91" s="47"/>
      <c r="E91" s="47"/>
      <c r="F91" s="47" t="s">
        <v>79</v>
      </c>
      <c r="G91" s="65">
        <f>SUM(G92)</f>
        <v>12867.92</v>
      </c>
      <c r="H91" s="65">
        <f>SUM(H92)</f>
        <v>39942.93</v>
      </c>
      <c r="I91" s="65">
        <f>SUM(I92)</f>
        <v>39942.93</v>
      </c>
      <c r="J91" s="65">
        <f>SUM(J92)</f>
        <v>21542.23</v>
      </c>
      <c r="K91" s="87">
        <f t="shared" si="14"/>
        <v>167.41035070158969</v>
      </c>
      <c r="L91" s="83">
        <f t="shared" si="15"/>
        <v>53.932523227514849</v>
      </c>
    </row>
    <row r="92" spans="1:12" x14ac:dyDescent="0.25">
      <c r="A92" s="31"/>
      <c r="B92" s="40"/>
      <c r="C92" s="41"/>
      <c r="D92" s="42">
        <v>343</v>
      </c>
      <c r="E92" s="42"/>
      <c r="F92" s="42" t="s">
        <v>101</v>
      </c>
      <c r="G92" s="58">
        <f>SUM(G93:G97)</f>
        <v>12867.92</v>
      </c>
      <c r="H92" s="58">
        <f>SUM(H93:H97)</f>
        <v>39942.93</v>
      </c>
      <c r="I92" s="58">
        <f>SUM(I93:I97)</f>
        <v>39942.93</v>
      </c>
      <c r="J92" s="58">
        <f>SUM(J93:J97)</f>
        <v>21542.23</v>
      </c>
      <c r="K92" s="81">
        <f t="shared" si="14"/>
        <v>167.41035070158969</v>
      </c>
      <c r="L92" s="83">
        <f t="shared" si="15"/>
        <v>53.932523227514849</v>
      </c>
    </row>
    <row r="93" spans="1:12" ht="41.25" customHeight="1" x14ac:dyDescent="0.25">
      <c r="A93" s="31"/>
      <c r="B93" s="6"/>
      <c r="C93" s="19"/>
      <c r="D93" s="7"/>
      <c r="E93" s="7">
        <v>3423</v>
      </c>
      <c r="F93" s="9" t="s">
        <v>148</v>
      </c>
      <c r="G93" s="63">
        <v>12124.61</v>
      </c>
      <c r="H93" s="32">
        <v>38642.93</v>
      </c>
      <c r="I93" s="32">
        <v>38642.93</v>
      </c>
      <c r="J93" s="63">
        <v>20822.669999999998</v>
      </c>
      <c r="K93" s="81">
        <f t="shared" si="14"/>
        <v>171.73888479711923</v>
      </c>
      <c r="L93" s="83">
        <f t="shared" si="15"/>
        <v>53.884811529560515</v>
      </c>
    </row>
    <row r="94" spans="1:12" x14ac:dyDescent="0.25">
      <c r="A94" s="31"/>
      <c r="B94" s="6"/>
      <c r="C94" s="19"/>
      <c r="D94" s="7"/>
      <c r="E94" s="7">
        <v>3431</v>
      </c>
      <c r="F94" s="7" t="s">
        <v>102</v>
      </c>
      <c r="G94" s="34">
        <v>589.9</v>
      </c>
      <c r="H94" s="32">
        <v>1300</v>
      </c>
      <c r="I94" s="32">
        <v>1300</v>
      </c>
      <c r="J94" s="34">
        <v>719.56</v>
      </c>
      <c r="K94" s="83">
        <f>IFERROR(J94/G94*100,"")</f>
        <v>121.97999660959485</v>
      </c>
      <c r="L94" s="83">
        <f t="shared" ref="L94:L133" si="16">IFERROR(J94/I94*100,"")</f>
        <v>55.350769230769224</v>
      </c>
    </row>
    <row r="95" spans="1:12" x14ac:dyDescent="0.25">
      <c r="B95" s="6"/>
      <c r="C95" s="19"/>
      <c r="D95" s="7"/>
      <c r="E95" s="7">
        <v>3432</v>
      </c>
      <c r="F95" s="7" t="s">
        <v>103</v>
      </c>
      <c r="G95" s="34"/>
      <c r="H95" s="32"/>
      <c r="I95" s="32"/>
      <c r="J95" s="34"/>
      <c r="K95" s="83" t="str">
        <f>IFERROR(J95/G95*100,"")</f>
        <v/>
      </c>
      <c r="L95" s="83" t="str">
        <f t="shared" si="16"/>
        <v/>
      </c>
    </row>
    <row r="96" spans="1:12" x14ac:dyDescent="0.25">
      <c r="A96" s="31"/>
      <c r="B96" s="6"/>
      <c r="C96" s="19"/>
      <c r="D96" s="7"/>
      <c r="E96" s="7">
        <v>3433</v>
      </c>
      <c r="F96" s="7" t="s">
        <v>104</v>
      </c>
      <c r="G96" s="34">
        <v>153.41</v>
      </c>
      <c r="H96" s="32"/>
      <c r="I96" s="32"/>
      <c r="J96" s="34"/>
      <c r="K96" s="83">
        <f>IFERROR(J96/G96*100,"")</f>
        <v>0</v>
      </c>
      <c r="L96" s="83" t="str">
        <f t="shared" si="16"/>
        <v/>
      </c>
    </row>
    <row r="97" spans="1:12" x14ac:dyDescent="0.25">
      <c r="A97" s="31"/>
      <c r="B97" s="6"/>
      <c r="C97" s="19"/>
      <c r="D97" s="7"/>
      <c r="E97" s="7">
        <v>3434</v>
      </c>
      <c r="F97" s="7" t="s">
        <v>105</v>
      </c>
      <c r="G97" s="34"/>
      <c r="H97" s="32"/>
      <c r="I97" s="32"/>
      <c r="J97" s="34"/>
      <c r="K97" s="83" t="str">
        <f t="shared" ref="K97:K109" si="17">IFERROR(J97/G97*100,"")</f>
        <v/>
      </c>
      <c r="L97" s="83" t="str">
        <f t="shared" si="16"/>
        <v/>
      </c>
    </row>
    <row r="98" spans="1:12" x14ac:dyDescent="0.25">
      <c r="A98" s="31"/>
      <c r="B98" s="139"/>
      <c r="C98" s="142">
        <v>35</v>
      </c>
      <c r="D98" s="143"/>
      <c r="E98" s="143"/>
      <c r="F98" s="143" t="s">
        <v>149</v>
      </c>
      <c r="G98" s="156">
        <f>SUM(G99:G100)</f>
        <v>7887.08</v>
      </c>
      <c r="H98" s="156">
        <f>SUM(H99:H100)</f>
        <v>0</v>
      </c>
      <c r="I98" s="156">
        <f>SUM(I99:I100)</f>
        <v>0</v>
      </c>
      <c r="J98" s="156">
        <f>SUM(J99:J100)</f>
        <v>0</v>
      </c>
      <c r="K98" s="83">
        <f t="shared" si="17"/>
        <v>0</v>
      </c>
      <c r="L98" s="83" t="str">
        <f t="shared" si="16"/>
        <v/>
      </c>
    </row>
    <row r="99" spans="1:12" ht="25.5" x14ac:dyDescent="0.25">
      <c r="A99" s="31"/>
      <c r="B99" s="6"/>
      <c r="C99" s="19"/>
      <c r="D99" s="7"/>
      <c r="E99" s="7">
        <v>3522</v>
      </c>
      <c r="F99" s="9" t="s">
        <v>150</v>
      </c>
      <c r="G99" s="34">
        <v>1183.06</v>
      </c>
      <c r="H99" s="32"/>
      <c r="I99" s="32"/>
      <c r="J99" s="34"/>
      <c r="K99" s="83">
        <f t="shared" si="17"/>
        <v>0</v>
      </c>
      <c r="L99" s="83" t="str">
        <f t="shared" si="16"/>
        <v/>
      </c>
    </row>
    <row r="100" spans="1:12" ht="25.5" x14ac:dyDescent="0.25">
      <c r="A100" s="31"/>
      <c r="B100" s="6"/>
      <c r="C100" s="19"/>
      <c r="D100" s="7"/>
      <c r="E100" s="7">
        <v>3531</v>
      </c>
      <c r="F100" s="9" t="s">
        <v>151</v>
      </c>
      <c r="G100" s="34">
        <v>6704.02</v>
      </c>
      <c r="H100" s="32"/>
      <c r="I100" s="32"/>
      <c r="J100" s="34"/>
      <c r="K100" s="83">
        <f t="shared" si="17"/>
        <v>0</v>
      </c>
      <c r="L100" s="83" t="str">
        <f t="shared" si="16"/>
        <v/>
      </c>
    </row>
    <row r="101" spans="1:12" x14ac:dyDescent="0.25">
      <c r="A101" s="31"/>
      <c r="B101" s="139"/>
      <c r="C101" s="142">
        <v>36</v>
      </c>
      <c r="D101" s="143"/>
      <c r="E101" s="143"/>
      <c r="F101" s="143" t="s">
        <v>152</v>
      </c>
      <c r="G101" s="156">
        <f t="shared" ref="G101" si="18">SUM(G102:G105)</f>
        <v>52804.03</v>
      </c>
      <c r="H101" s="156">
        <f t="shared" ref="H101:J101" si="19">SUM(H102:H105)</f>
        <v>0</v>
      </c>
      <c r="I101" s="156">
        <f t="shared" ref="I101" si="20">SUM(I102:I105)</f>
        <v>0</v>
      </c>
      <c r="J101" s="156">
        <f t="shared" si="19"/>
        <v>0</v>
      </c>
      <c r="K101" s="83">
        <f t="shared" si="17"/>
        <v>0</v>
      </c>
      <c r="L101" s="83" t="str">
        <f t="shared" si="16"/>
        <v/>
      </c>
    </row>
    <row r="102" spans="1:12" ht="25.5" x14ac:dyDescent="0.25">
      <c r="A102" s="31"/>
      <c r="B102" s="6"/>
      <c r="C102" s="19"/>
      <c r="D102" s="7"/>
      <c r="E102" s="7">
        <v>3661</v>
      </c>
      <c r="F102" s="9" t="s">
        <v>153</v>
      </c>
      <c r="G102" s="34">
        <v>2459.17</v>
      </c>
      <c r="H102" s="32"/>
      <c r="I102" s="32"/>
      <c r="J102" s="34"/>
      <c r="K102" s="83">
        <f t="shared" si="17"/>
        <v>0</v>
      </c>
      <c r="L102" s="83" t="str">
        <f t="shared" si="16"/>
        <v/>
      </c>
    </row>
    <row r="103" spans="1:12" x14ac:dyDescent="0.25">
      <c r="A103" s="31"/>
      <c r="B103" s="6"/>
      <c r="C103" s="19"/>
      <c r="D103" s="7"/>
      <c r="E103" s="7">
        <v>3681</v>
      </c>
      <c r="F103" s="7" t="s">
        <v>117</v>
      </c>
      <c r="G103" s="34">
        <v>13935.27</v>
      </c>
      <c r="H103" s="32"/>
      <c r="I103" s="32"/>
      <c r="J103" s="34"/>
      <c r="K103" s="83">
        <f t="shared" si="17"/>
        <v>0</v>
      </c>
      <c r="L103" s="83" t="str">
        <f t="shared" si="16"/>
        <v/>
      </c>
    </row>
    <row r="104" spans="1:12" ht="25.5" x14ac:dyDescent="0.25">
      <c r="A104" s="31"/>
      <c r="B104" s="6"/>
      <c r="C104" s="19"/>
      <c r="D104" s="7"/>
      <c r="E104" s="7">
        <v>3691</v>
      </c>
      <c r="F104" s="9" t="s">
        <v>146</v>
      </c>
      <c r="G104" s="34">
        <v>5461.44</v>
      </c>
      <c r="H104" s="32"/>
      <c r="I104" s="32"/>
      <c r="J104" s="34"/>
      <c r="K104" s="83">
        <f t="shared" si="17"/>
        <v>0</v>
      </c>
      <c r="L104" s="83" t="str">
        <f t="shared" si="16"/>
        <v/>
      </c>
    </row>
    <row r="105" spans="1:12" ht="25.5" x14ac:dyDescent="0.25">
      <c r="A105" s="31"/>
      <c r="B105" s="6"/>
      <c r="C105" s="19"/>
      <c r="D105" s="7"/>
      <c r="E105" s="7">
        <v>3693</v>
      </c>
      <c r="F105" s="9" t="s">
        <v>147</v>
      </c>
      <c r="G105" s="34">
        <v>30948.15</v>
      </c>
      <c r="H105" s="32"/>
      <c r="I105" s="32"/>
      <c r="J105" s="34"/>
      <c r="K105" s="83">
        <f t="shared" si="17"/>
        <v>0</v>
      </c>
      <c r="L105" s="83" t="str">
        <f t="shared" si="16"/>
        <v/>
      </c>
    </row>
    <row r="106" spans="1:12" x14ac:dyDescent="0.25">
      <c r="A106" s="31"/>
      <c r="B106" s="46"/>
      <c r="C106" s="48">
        <v>37</v>
      </c>
      <c r="D106" s="47"/>
      <c r="E106" s="47"/>
      <c r="F106" s="47" t="s">
        <v>106</v>
      </c>
      <c r="G106" s="61"/>
      <c r="H106" s="155"/>
      <c r="I106" s="155"/>
      <c r="J106" s="61"/>
      <c r="K106" s="83" t="str">
        <f t="shared" si="17"/>
        <v/>
      </c>
      <c r="L106" s="83" t="str">
        <f t="shared" si="16"/>
        <v/>
      </c>
    </row>
    <row r="107" spans="1:12" x14ac:dyDescent="0.25">
      <c r="A107" s="31"/>
      <c r="B107" s="40"/>
      <c r="C107" s="41"/>
      <c r="D107" s="42">
        <v>372</v>
      </c>
      <c r="E107" s="42"/>
      <c r="F107" s="42" t="s">
        <v>107</v>
      </c>
      <c r="G107" s="59"/>
      <c r="H107" s="58"/>
      <c r="I107" s="58"/>
      <c r="J107" s="59"/>
      <c r="K107" s="83" t="str">
        <f t="shared" si="17"/>
        <v/>
      </c>
      <c r="L107" s="83" t="str">
        <f t="shared" si="16"/>
        <v/>
      </c>
    </row>
    <row r="108" spans="1:12" x14ac:dyDescent="0.25">
      <c r="A108" s="31"/>
      <c r="B108" s="6"/>
      <c r="C108" s="19"/>
      <c r="D108" s="7"/>
      <c r="E108" s="7">
        <v>3721</v>
      </c>
      <c r="F108" s="7" t="s">
        <v>130</v>
      </c>
      <c r="G108" s="34"/>
      <c r="H108" s="32"/>
      <c r="I108" s="32"/>
      <c r="J108" s="34"/>
      <c r="K108" s="83" t="str">
        <f t="shared" si="17"/>
        <v/>
      </c>
      <c r="L108" s="83" t="str">
        <f t="shared" si="16"/>
        <v/>
      </c>
    </row>
    <row r="109" spans="1:12" x14ac:dyDescent="0.25">
      <c r="A109" s="31"/>
      <c r="B109" s="6"/>
      <c r="C109" s="19"/>
      <c r="D109" s="7"/>
      <c r="E109" s="7">
        <v>3722</v>
      </c>
      <c r="F109" s="7" t="s">
        <v>108</v>
      </c>
      <c r="G109" s="34"/>
      <c r="H109" s="32"/>
      <c r="I109" s="32"/>
      <c r="J109" s="34"/>
      <c r="K109" s="83" t="str">
        <f t="shared" si="17"/>
        <v/>
      </c>
      <c r="L109" s="83" t="str">
        <f t="shared" si="16"/>
        <v/>
      </c>
    </row>
    <row r="110" spans="1:12" x14ac:dyDescent="0.25">
      <c r="A110" s="31"/>
      <c r="B110" s="46"/>
      <c r="C110" s="48">
        <v>38</v>
      </c>
      <c r="D110" s="47"/>
      <c r="E110" s="47"/>
      <c r="F110" s="47" t="s">
        <v>109</v>
      </c>
      <c r="G110" s="61">
        <f>G111</f>
        <v>23267.22</v>
      </c>
      <c r="H110" s="61">
        <f>SUM(H111+H115)</f>
        <v>54</v>
      </c>
      <c r="I110" s="61">
        <f>SUM(I111+I115)</f>
        <v>54</v>
      </c>
      <c r="J110" s="61">
        <f>J111</f>
        <v>58.5</v>
      </c>
      <c r="K110" s="80">
        <f t="shared" ref="K110:K111" si="21">IFERROR(J110/G110*100,"")</f>
        <v>0.25142668526794348</v>
      </c>
      <c r="L110" s="83">
        <f t="shared" si="16"/>
        <v>108.33333333333333</v>
      </c>
    </row>
    <row r="111" spans="1:12" x14ac:dyDescent="0.25">
      <c r="A111" s="31"/>
      <c r="B111" s="40"/>
      <c r="C111" s="41"/>
      <c r="D111" s="42">
        <v>381</v>
      </c>
      <c r="E111" s="42"/>
      <c r="F111" s="42" t="s">
        <v>43</v>
      </c>
      <c r="G111" s="59">
        <f>SUM(G112:G114)</f>
        <v>23267.22</v>
      </c>
      <c r="H111" s="58">
        <v>54</v>
      </c>
      <c r="I111" s="58">
        <v>54</v>
      </c>
      <c r="J111" s="59">
        <f>SUM(J112:J114)</f>
        <v>58.5</v>
      </c>
      <c r="K111" s="81">
        <f t="shared" si="21"/>
        <v>0.25142668526794348</v>
      </c>
      <c r="L111" s="83">
        <f t="shared" si="16"/>
        <v>108.33333333333333</v>
      </c>
    </row>
    <row r="112" spans="1:12" x14ac:dyDescent="0.25">
      <c r="A112" s="31"/>
      <c r="B112" s="40"/>
      <c r="C112" s="41"/>
      <c r="D112" s="42"/>
      <c r="E112" s="42">
        <v>3811</v>
      </c>
      <c r="F112" s="7" t="s">
        <v>154</v>
      </c>
      <c r="G112" s="74">
        <v>3481.98</v>
      </c>
      <c r="H112" s="205">
        <v>2553.94</v>
      </c>
      <c r="I112" s="205">
        <v>2553.94</v>
      </c>
      <c r="J112" s="74"/>
      <c r="K112" s="204"/>
      <c r="L112" s="83">
        <f t="shared" si="16"/>
        <v>0</v>
      </c>
    </row>
    <row r="113" spans="1:12" x14ac:dyDescent="0.25">
      <c r="A113" s="31"/>
      <c r="B113" s="6"/>
      <c r="C113" s="19"/>
      <c r="D113" s="7"/>
      <c r="E113" s="7">
        <v>3812</v>
      </c>
      <c r="F113" s="7" t="s">
        <v>110</v>
      </c>
      <c r="G113" s="34">
        <v>54</v>
      </c>
      <c r="H113" s="32">
        <v>54</v>
      </c>
      <c r="I113" s="32">
        <v>54</v>
      </c>
      <c r="J113" s="34">
        <v>58.5</v>
      </c>
      <c r="K113" s="83">
        <f>IFERROR(J113/G113*100,"")</f>
        <v>108.33333333333333</v>
      </c>
      <c r="L113" s="83">
        <f t="shared" si="16"/>
        <v>108.33333333333333</v>
      </c>
    </row>
    <row r="114" spans="1:12" x14ac:dyDescent="0.25">
      <c r="A114" s="31"/>
      <c r="B114" s="6"/>
      <c r="C114" s="19"/>
      <c r="D114" s="7"/>
      <c r="E114" s="7">
        <v>3813</v>
      </c>
      <c r="F114" s="7" t="s">
        <v>155</v>
      </c>
      <c r="G114" s="34">
        <v>19731.240000000002</v>
      </c>
      <c r="H114" s="32"/>
      <c r="I114" s="32"/>
      <c r="J114" s="34"/>
      <c r="K114" s="83"/>
      <c r="L114" s="83" t="str">
        <f t="shared" si="16"/>
        <v/>
      </c>
    </row>
    <row r="115" spans="1:12" x14ac:dyDescent="0.25">
      <c r="A115" s="31"/>
      <c r="B115" s="106"/>
      <c r="C115" s="107"/>
      <c r="D115" s="108">
        <v>383</v>
      </c>
      <c r="E115" s="108"/>
      <c r="F115" s="108" t="s">
        <v>131</v>
      </c>
      <c r="G115" s="111"/>
      <c r="H115" s="110"/>
      <c r="I115" s="110"/>
      <c r="J115" s="111"/>
      <c r="K115" s="112" t="str">
        <f>IFERROR(J115/G115*100,"")</f>
        <v/>
      </c>
      <c r="L115" s="83" t="str">
        <f t="shared" si="16"/>
        <v/>
      </c>
    </row>
    <row r="116" spans="1:12" x14ac:dyDescent="0.25">
      <c r="A116" s="31"/>
      <c r="B116" s="6"/>
      <c r="C116" s="19"/>
      <c r="D116" s="7"/>
      <c r="E116" s="7">
        <v>3831</v>
      </c>
      <c r="F116" s="7" t="s">
        <v>132</v>
      </c>
      <c r="G116" s="34"/>
      <c r="H116" s="32"/>
      <c r="I116" s="32"/>
      <c r="J116" s="34"/>
      <c r="K116" s="83"/>
      <c r="L116" s="83" t="str">
        <f t="shared" si="16"/>
        <v/>
      </c>
    </row>
    <row r="117" spans="1:12" x14ac:dyDescent="0.25">
      <c r="A117" s="31"/>
      <c r="B117" s="51">
        <v>4</v>
      </c>
      <c r="C117" s="51"/>
      <c r="D117" s="51"/>
      <c r="E117" s="51"/>
      <c r="F117" s="52" t="s">
        <v>5</v>
      </c>
      <c r="G117" s="66">
        <f>G121+G131+G118</f>
        <v>1228952.24</v>
      </c>
      <c r="H117" s="66">
        <f>H121+H131+H118</f>
        <v>1370024.9400000002</v>
      </c>
      <c r="I117" s="66">
        <f>I121+I131+I118</f>
        <v>1370024.9400000002</v>
      </c>
      <c r="J117" s="66">
        <f>J121+J131+J118</f>
        <v>1166143.1399999999</v>
      </c>
      <c r="K117" s="86">
        <f>IFERROR(J117/G117*100,"")</f>
        <v>94.889215548360113</v>
      </c>
      <c r="L117" s="86">
        <f t="shared" si="16"/>
        <v>85.118387698839967</v>
      </c>
    </row>
    <row r="118" spans="1:12" ht="25.5" x14ac:dyDescent="0.25">
      <c r="A118" s="31"/>
      <c r="B118" s="189"/>
      <c r="C118" s="189">
        <v>41</v>
      </c>
      <c r="D118" s="189"/>
      <c r="E118" s="189"/>
      <c r="F118" s="52" t="s">
        <v>212</v>
      </c>
      <c r="G118" s="192"/>
      <c r="H118" s="191"/>
      <c r="I118" s="191"/>
      <c r="J118" s="192"/>
      <c r="K118" s="86" t="str">
        <f t="shared" ref="K118:K130" si="22">IFERROR(J118/G118*100,"")</f>
        <v/>
      </c>
      <c r="L118" s="193"/>
    </row>
    <row r="119" spans="1:12" x14ac:dyDescent="0.25">
      <c r="A119" s="31"/>
      <c r="B119" s="189"/>
      <c r="C119" s="189"/>
      <c r="D119" s="194">
        <v>411</v>
      </c>
      <c r="E119" s="189"/>
      <c r="F119" s="190" t="s">
        <v>214</v>
      </c>
      <c r="G119" s="192"/>
      <c r="H119" s="197"/>
      <c r="I119" s="197"/>
      <c r="J119" s="192"/>
      <c r="K119" s="86" t="str">
        <f t="shared" si="22"/>
        <v/>
      </c>
      <c r="L119" s="193"/>
    </row>
    <row r="120" spans="1:12" x14ac:dyDescent="0.25">
      <c r="A120" s="31"/>
      <c r="B120" s="127"/>
      <c r="C120" s="127"/>
      <c r="D120" s="127"/>
      <c r="E120" s="195">
        <v>4111</v>
      </c>
      <c r="F120" s="196" t="s">
        <v>213</v>
      </c>
      <c r="G120" s="99"/>
      <c r="H120" s="188"/>
      <c r="I120" s="188"/>
      <c r="J120" s="99"/>
      <c r="K120" s="86" t="str">
        <f t="shared" si="22"/>
        <v/>
      </c>
      <c r="L120" s="123"/>
    </row>
    <row r="121" spans="1:12" x14ac:dyDescent="0.25">
      <c r="A121" s="31"/>
      <c r="B121" s="45"/>
      <c r="C121" s="44">
        <v>42</v>
      </c>
      <c r="D121" s="45"/>
      <c r="E121" s="45"/>
      <c r="F121" s="49" t="s">
        <v>66</v>
      </c>
      <c r="G121" s="198">
        <f>G122+G129</f>
        <v>8321.5300000000007</v>
      </c>
      <c r="H121" s="198">
        <f>H122+H129</f>
        <v>158322.28</v>
      </c>
      <c r="I121" s="198">
        <f>I122+I129</f>
        <v>158322.28</v>
      </c>
      <c r="J121" s="198">
        <f>J122+J129</f>
        <v>161136.93</v>
      </c>
      <c r="K121" s="86">
        <f t="shared" si="22"/>
        <v>1936.3858569277522</v>
      </c>
      <c r="L121" s="87">
        <f t="shared" si="16"/>
        <v>101.77779779321014</v>
      </c>
    </row>
    <row r="122" spans="1:12" x14ac:dyDescent="0.25">
      <c r="A122" s="31"/>
      <c r="B122" s="43"/>
      <c r="C122" s="43"/>
      <c r="D122" s="40">
        <v>422</v>
      </c>
      <c r="E122" s="40"/>
      <c r="F122" s="40" t="s">
        <v>67</v>
      </c>
      <c r="G122" s="60">
        <f>SUM(G123:G126)</f>
        <v>8321.5300000000007</v>
      </c>
      <c r="H122" s="60">
        <f>SUM(H123:H126)</f>
        <v>157125.28</v>
      </c>
      <c r="I122" s="60">
        <f>SUM(I123:I126)</f>
        <v>157125.28</v>
      </c>
      <c r="J122" s="60">
        <f>SUM(J123:J126)</f>
        <v>160864.28</v>
      </c>
      <c r="K122" s="86">
        <f t="shared" si="22"/>
        <v>1933.1094161770732</v>
      </c>
      <c r="L122" s="81">
        <f t="shared" si="16"/>
        <v>102.37962980877424</v>
      </c>
    </row>
    <row r="123" spans="1:12" x14ac:dyDescent="0.25">
      <c r="A123" s="31"/>
      <c r="B123" s="8"/>
      <c r="C123" s="8"/>
      <c r="D123" s="6"/>
      <c r="E123" s="6">
        <v>4221</v>
      </c>
      <c r="F123" s="6" t="s">
        <v>65</v>
      </c>
      <c r="G123" s="34"/>
      <c r="H123" s="33"/>
      <c r="I123" s="33"/>
      <c r="J123" s="34">
        <v>45095.25</v>
      </c>
      <c r="K123" s="86" t="str">
        <f t="shared" si="22"/>
        <v/>
      </c>
      <c r="L123" s="83" t="str">
        <f t="shared" si="16"/>
        <v/>
      </c>
    </row>
    <row r="124" spans="1:12" x14ac:dyDescent="0.25">
      <c r="A124" s="31"/>
      <c r="B124" s="8"/>
      <c r="C124" s="8"/>
      <c r="D124" s="6"/>
      <c r="E124" s="6">
        <v>4222</v>
      </c>
      <c r="F124" s="6" t="s">
        <v>135</v>
      </c>
      <c r="G124" s="34"/>
      <c r="H124" s="33"/>
      <c r="I124" s="33"/>
      <c r="J124" s="34"/>
      <c r="K124" s="86" t="str">
        <f t="shared" si="22"/>
        <v/>
      </c>
      <c r="L124" s="83" t="str">
        <f t="shared" si="16"/>
        <v/>
      </c>
    </row>
    <row r="125" spans="1:12" x14ac:dyDescent="0.25">
      <c r="A125" s="31"/>
      <c r="B125" s="8"/>
      <c r="C125" s="8"/>
      <c r="D125" s="6"/>
      <c r="E125" s="6">
        <v>4223</v>
      </c>
      <c r="F125" s="6" t="s">
        <v>136</v>
      </c>
      <c r="G125" s="34"/>
      <c r="H125" s="33"/>
      <c r="I125" s="33"/>
      <c r="J125" s="34"/>
      <c r="K125" s="86" t="str">
        <f t="shared" si="22"/>
        <v/>
      </c>
      <c r="L125" s="83" t="str">
        <f t="shared" si="16"/>
        <v/>
      </c>
    </row>
    <row r="126" spans="1:12" x14ac:dyDescent="0.25">
      <c r="A126" s="31"/>
      <c r="B126" s="8"/>
      <c r="C126" s="8"/>
      <c r="D126" s="6"/>
      <c r="E126" s="6">
        <v>4227</v>
      </c>
      <c r="F126" s="6" t="s">
        <v>156</v>
      </c>
      <c r="G126" s="34">
        <v>8321.5300000000007</v>
      </c>
      <c r="H126" s="33">
        <v>157125.28</v>
      </c>
      <c r="I126" s="33">
        <v>157125.28</v>
      </c>
      <c r="J126" s="34">
        <v>115769.03</v>
      </c>
      <c r="K126" s="86">
        <f t="shared" si="22"/>
        <v>1391.1988540568859</v>
      </c>
      <c r="L126" s="83">
        <f t="shared" si="16"/>
        <v>73.679442289617555</v>
      </c>
    </row>
    <row r="127" spans="1:12" x14ac:dyDescent="0.25">
      <c r="A127" s="31"/>
      <c r="B127" s="109"/>
      <c r="C127" s="109"/>
      <c r="D127" s="106">
        <v>423</v>
      </c>
      <c r="E127" s="106"/>
      <c r="F127" s="106" t="s">
        <v>158</v>
      </c>
      <c r="G127" s="111"/>
      <c r="H127" s="145"/>
      <c r="I127" s="145"/>
      <c r="J127" s="111"/>
      <c r="K127" s="86" t="str">
        <f t="shared" si="22"/>
        <v/>
      </c>
      <c r="L127" s="83" t="str">
        <f t="shared" si="16"/>
        <v/>
      </c>
    </row>
    <row r="128" spans="1:12" x14ac:dyDescent="0.25">
      <c r="A128" s="31"/>
      <c r="B128" s="8"/>
      <c r="C128" s="8"/>
      <c r="D128" s="6"/>
      <c r="E128" s="6">
        <v>4231</v>
      </c>
      <c r="F128" s="6" t="s">
        <v>157</v>
      </c>
      <c r="G128" s="34"/>
      <c r="H128" s="33"/>
      <c r="I128" s="33"/>
      <c r="J128" s="34"/>
      <c r="K128" s="86" t="str">
        <f t="shared" si="22"/>
        <v/>
      </c>
      <c r="L128" s="83" t="str">
        <f t="shared" si="16"/>
        <v/>
      </c>
    </row>
    <row r="129" spans="1:12" x14ac:dyDescent="0.25">
      <c r="A129" s="31"/>
      <c r="B129" s="43"/>
      <c r="C129" s="43"/>
      <c r="D129" s="40">
        <v>424</v>
      </c>
      <c r="E129" s="40"/>
      <c r="F129" s="40" t="s">
        <v>68</v>
      </c>
      <c r="G129" s="59"/>
      <c r="H129" s="60">
        <f>SUM(H130)</f>
        <v>1197</v>
      </c>
      <c r="I129" s="60">
        <f>SUM(I130)</f>
        <v>1197</v>
      </c>
      <c r="J129" s="60">
        <f>SUM(J130)</f>
        <v>272.64999999999998</v>
      </c>
      <c r="K129" s="86" t="str">
        <f t="shared" si="22"/>
        <v/>
      </c>
      <c r="L129" s="83">
        <f t="shared" si="16"/>
        <v>22.777777777777775</v>
      </c>
    </row>
    <row r="130" spans="1:12" x14ac:dyDescent="0.25">
      <c r="A130" s="31"/>
      <c r="B130" s="8"/>
      <c r="C130" s="8"/>
      <c r="D130" s="6"/>
      <c r="E130" s="6">
        <v>4241</v>
      </c>
      <c r="F130" s="6" t="s">
        <v>64</v>
      </c>
      <c r="G130" s="34"/>
      <c r="H130" s="33">
        <v>1197</v>
      </c>
      <c r="I130" s="33">
        <v>1197</v>
      </c>
      <c r="J130" s="34">
        <v>272.64999999999998</v>
      </c>
      <c r="K130" s="86" t="str">
        <f t="shared" si="22"/>
        <v/>
      </c>
      <c r="L130" s="83">
        <f t="shared" si="16"/>
        <v>22.777777777777775</v>
      </c>
    </row>
    <row r="131" spans="1:12" ht="25.5" x14ac:dyDescent="0.25">
      <c r="B131" s="45"/>
      <c r="C131" s="44">
        <v>45</v>
      </c>
      <c r="D131" s="45"/>
      <c r="E131" s="45"/>
      <c r="F131" s="49" t="s">
        <v>159</v>
      </c>
      <c r="G131" s="198">
        <f>G132</f>
        <v>1220630.71</v>
      </c>
      <c r="H131" s="198">
        <f>H132</f>
        <v>1211702.6600000001</v>
      </c>
      <c r="I131" s="198">
        <f>I132</f>
        <v>1211702.6600000001</v>
      </c>
      <c r="J131" s="198">
        <f>J132</f>
        <v>1005006.21</v>
      </c>
      <c r="K131" s="87">
        <f t="shared" ref="K131:K134" si="23">IFERROR(J131/G131*100,"")</f>
        <v>82.334993029955811</v>
      </c>
      <c r="L131" s="87">
        <f t="shared" si="16"/>
        <v>82.941652533798987</v>
      </c>
    </row>
    <row r="132" spans="1:12" x14ac:dyDescent="0.25">
      <c r="B132" s="43"/>
      <c r="C132" s="43"/>
      <c r="D132" s="40">
        <v>451</v>
      </c>
      <c r="E132" s="40"/>
      <c r="F132" s="40" t="s">
        <v>160</v>
      </c>
      <c r="G132" s="60">
        <f>SUM(G133)</f>
        <v>1220630.71</v>
      </c>
      <c r="H132" s="60">
        <f>1063424.09+148278.57</f>
        <v>1211702.6600000001</v>
      </c>
      <c r="I132" s="60">
        <f>1063424.09+148278.57</f>
        <v>1211702.6600000001</v>
      </c>
      <c r="J132" s="60">
        <f>SUM(J133)</f>
        <v>1005006.21</v>
      </c>
      <c r="K132" s="81">
        <f t="shared" si="23"/>
        <v>82.334993029955811</v>
      </c>
      <c r="L132" s="81">
        <f t="shared" si="16"/>
        <v>82.941652533798987</v>
      </c>
    </row>
    <row r="133" spans="1:12" x14ac:dyDescent="0.25">
      <c r="B133" s="8"/>
      <c r="C133" s="8"/>
      <c r="D133" s="6"/>
      <c r="E133" s="6">
        <v>4511</v>
      </c>
      <c r="F133" s="40" t="s">
        <v>160</v>
      </c>
      <c r="G133" s="34">
        <v>1220630.71</v>
      </c>
      <c r="H133" s="60">
        <f>1063424.09+148278.57</f>
        <v>1211702.6600000001</v>
      </c>
      <c r="I133" s="60">
        <f>1063424.09+148278.57</f>
        <v>1211702.6600000001</v>
      </c>
      <c r="J133" s="34">
        <v>1005006.21</v>
      </c>
      <c r="K133" s="83">
        <f t="shared" si="23"/>
        <v>82.334993029955811</v>
      </c>
      <c r="L133" s="83">
        <f t="shared" si="16"/>
        <v>82.941652533798987</v>
      </c>
    </row>
    <row r="134" spans="1:12" x14ac:dyDescent="0.25">
      <c r="B134" s="51">
        <v>5</v>
      </c>
      <c r="C134" s="51"/>
      <c r="D134" s="51"/>
      <c r="E134" s="51"/>
      <c r="F134" s="52" t="s">
        <v>243</v>
      </c>
      <c r="G134" s="66">
        <f>G138+G148+G135</f>
        <v>0</v>
      </c>
      <c r="H134" s="66">
        <f>H138+H148+H135</f>
        <v>160118.41</v>
      </c>
      <c r="I134" s="66">
        <f>I138+I148+I135</f>
        <v>160118.41</v>
      </c>
      <c r="J134" s="66">
        <f>J138+J148+J135</f>
        <v>0</v>
      </c>
      <c r="K134" s="86" t="str">
        <f t="shared" si="23"/>
        <v/>
      </c>
      <c r="L134" s="86">
        <f t="shared" ref="L134" si="24">IFERROR(J134/I134*100,"")</f>
        <v>0</v>
      </c>
    </row>
    <row r="135" spans="1:12" ht="35.25" customHeight="1" x14ac:dyDescent="0.25">
      <c r="B135" s="189"/>
      <c r="C135" s="189">
        <v>54</v>
      </c>
      <c r="D135" s="189"/>
      <c r="E135" s="189"/>
      <c r="F135" s="52" t="s">
        <v>234</v>
      </c>
      <c r="G135" s="192"/>
      <c r="H135" s="191">
        <f>SUM(H136)</f>
        <v>160118.41</v>
      </c>
      <c r="I135" s="191">
        <f>SUM(I136)</f>
        <v>160118.41</v>
      </c>
      <c r="J135" s="192"/>
      <c r="K135" s="193"/>
      <c r="L135" s="193"/>
    </row>
    <row r="136" spans="1:12" ht="38.25" x14ac:dyDescent="0.25">
      <c r="B136" s="189"/>
      <c r="C136" s="189"/>
      <c r="D136" s="194">
        <v>544</v>
      </c>
      <c r="E136" s="189"/>
      <c r="F136" s="190" t="s">
        <v>236</v>
      </c>
      <c r="G136" s="192"/>
      <c r="H136" s="197">
        <f>SUM(H137)</f>
        <v>160118.41</v>
      </c>
      <c r="I136" s="197">
        <f>SUM(I137)</f>
        <v>160118.41</v>
      </c>
      <c r="J136" s="192"/>
      <c r="K136" s="193"/>
      <c r="L136" s="193"/>
    </row>
    <row r="137" spans="1:12" ht="25.5" x14ac:dyDescent="0.25">
      <c r="B137" s="127"/>
      <c r="C137" s="127"/>
      <c r="D137" s="127"/>
      <c r="E137" s="195">
        <v>5443</v>
      </c>
      <c r="F137" s="190" t="s">
        <v>235</v>
      </c>
      <c r="G137" s="99"/>
      <c r="H137" s="188">
        <v>160118.41</v>
      </c>
      <c r="I137" s="188">
        <v>160118.41</v>
      </c>
      <c r="J137" s="99"/>
      <c r="K137" s="123"/>
      <c r="L137" s="123"/>
    </row>
    <row r="141" spans="1:12" x14ac:dyDescent="0.25">
      <c r="H141" s="100"/>
      <c r="I141" s="100"/>
      <c r="J141" s="100"/>
    </row>
    <row r="149" spans="8:8" x14ac:dyDescent="0.25">
      <c r="H149" s="100"/>
    </row>
  </sheetData>
  <mergeCells count="7">
    <mergeCell ref="B4:L4"/>
    <mergeCell ref="B2:L2"/>
    <mergeCell ref="B46:F46"/>
    <mergeCell ref="B47:F47"/>
    <mergeCell ref="B8:F8"/>
    <mergeCell ref="B9:F9"/>
    <mergeCell ref="B6:L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44"/>
  <sheetViews>
    <sheetView topLeftCell="A3" workbookViewId="0">
      <selection activeCell="F30" sqref="F3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12" ht="18" x14ac:dyDescent="0.25">
      <c r="B1" s="2"/>
      <c r="C1" s="152"/>
      <c r="D1" s="2"/>
      <c r="E1" s="2"/>
      <c r="F1" s="153"/>
      <c r="G1" s="3"/>
      <c r="H1" s="3"/>
    </row>
    <row r="2" spans="2:12" ht="15.75" customHeight="1" x14ac:dyDescent="0.25">
      <c r="B2" s="238" t="s">
        <v>21</v>
      </c>
      <c r="C2" s="238"/>
      <c r="D2" s="238"/>
      <c r="E2" s="238"/>
      <c r="F2" s="238"/>
      <c r="G2" s="238"/>
      <c r="H2" s="238"/>
    </row>
    <row r="3" spans="2:12" ht="17.45" x14ac:dyDescent="0.3">
      <c r="B3" s="2"/>
      <c r="C3" s="2"/>
      <c r="D3" s="2"/>
      <c r="E3" s="2"/>
      <c r="F3" s="3"/>
      <c r="G3" s="3"/>
      <c r="H3" s="3"/>
    </row>
    <row r="4" spans="2:12" ht="31.5" customHeight="1" x14ac:dyDescent="0.25">
      <c r="B4" s="29" t="s">
        <v>6</v>
      </c>
      <c r="C4" s="146" t="s">
        <v>232</v>
      </c>
      <c r="D4" s="146" t="s">
        <v>226</v>
      </c>
      <c r="E4" s="146" t="s">
        <v>227</v>
      </c>
      <c r="F4" s="29" t="s">
        <v>233</v>
      </c>
      <c r="G4" s="29" t="s">
        <v>10</v>
      </c>
      <c r="H4" s="29" t="s">
        <v>22</v>
      </c>
    </row>
    <row r="5" spans="2:12" s="23" customFormat="1" ht="10.15" x14ac:dyDescent="0.2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12</v>
      </c>
      <c r="H5" s="30" t="s">
        <v>13</v>
      </c>
    </row>
    <row r="6" spans="2:12" ht="15.75" customHeight="1" x14ac:dyDescent="0.25">
      <c r="B6" s="53" t="s">
        <v>7</v>
      </c>
      <c r="C6" s="55">
        <f>C7+C17</f>
        <v>2995330.51</v>
      </c>
      <c r="D6" s="95">
        <f>D7+D17</f>
        <v>5541423.8399999999</v>
      </c>
      <c r="E6" s="95">
        <f>E7+E17</f>
        <v>5541423.8399999999</v>
      </c>
      <c r="F6" s="55">
        <f>F7+F17</f>
        <v>3381054.69</v>
      </c>
      <c r="G6" s="85">
        <f>IFERROR(F6/C6*100,"")</f>
        <v>112.87751647813984</v>
      </c>
      <c r="H6" s="85">
        <f>IFERROR(F6/D6*100,"")</f>
        <v>61.014186743744901</v>
      </c>
      <c r="L6" s="31"/>
    </row>
    <row r="7" spans="2:12" ht="15.75" customHeight="1" x14ac:dyDescent="0.25">
      <c r="B7" s="69" t="s">
        <v>69</v>
      </c>
      <c r="C7" s="96">
        <f>SUM(C8:C16)</f>
        <v>1499155.6300000001</v>
      </c>
      <c r="D7" s="35">
        <f>SUM(D8:D16)</f>
        <v>3588951.77</v>
      </c>
      <c r="E7" s="35">
        <f>SUM(E8:E16)</f>
        <v>3588951.77</v>
      </c>
      <c r="F7" s="96">
        <f>SUM(F8:F16)</f>
        <v>1964726.15</v>
      </c>
      <c r="G7" s="97">
        <f t="shared" ref="G7:G27" si="0">IFERROR(F7/C7*100,"")</f>
        <v>131.05551623082653</v>
      </c>
      <c r="H7" s="97">
        <f t="shared" ref="H7:H26" si="1">IFERROR(F7/D7*100,"")</f>
        <v>54.74373231825291</v>
      </c>
    </row>
    <row r="8" spans="2:12" x14ac:dyDescent="0.25">
      <c r="B8" s="9" t="s">
        <v>72</v>
      </c>
      <c r="C8" s="34">
        <v>1353298.97</v>
      </c>
      <c r="D8" s="32">
        <f>33500+3190000</f>
        <v>3223500</v>
      </c>
      <c r="E8" s="32">
        <f>33500+3190000</f>
        <v>3223500</v>
      </c>
      <c r="F8" s="34">
        <f>1785958+20627.91</f>
        <v>1806585.91</v>
      </c>
      <c r="G8" s="83">
        <f t="shared" si="0"/>
        <v>133.49495935846312</v>
      </c>
      <c r="H8" s="83">
        <f t="shared" si="1"/>
        <v>56.044234837909102</v>
      </c>
    </row>
    <row r="9" spans="2:12" x14ac:dyDescent="0.25">
      <c r="B9" s="26" t="s">
        <v>70</v>
      </c>
      <c r="C9" s="34">
        <f>4404.06+140655.29</f>
        <v>145059.35</v>
      </c>
      <c r="D9" s="32">
        <f>16500+57107.07+262464.1+10000+14585+795.6+1600+1100</f>
        <v>364151.76999999996</v>
      </c>
      <c r="E9" s="32">
        <f>16500+57107.07+262464.1+10000+14585+795.6+1600+1100</f>
        <v>364151.76999999996</v>
      </c>
      <c r="F9" s="34">
        <v>157420.68</v>
      </c>
      <c r="G9" s="83">
        <f t="shared" si="0"/>
        <v>108.5215672068019</v>
      </c>
      <c r="H9" s="83">
        <f t="shared" si="1"/>
        <v>43.229415032089506</v>
      </c>
    </row>
    <row r="10" spans="2:12" x14ac:dyDescent="0.25">
      <c r="B10" s="26" t="s">
        <v>71</v>
      </c>
      <c r="C10" s="34">
        <f>153.41+589.9</f>
        <v>743.31</v>
      </c>
      <c r="D10" s="32">
        <v>1300</v>
      </c>
      <c r="E10" s="32">
        <v>1300</v>
      </c>
      <c r="F10" s="34">
        <v>719.56</v>
      </c>
      <c r="G10" s="83">
        <f t="shared" si="0"/>
        <v>96.804832438686418</v>
      </c>
      <c r="H10" s="83">
        <f t="shared" si="1"/>
        <v>55.350769230769224</v>
      </c>
    </row>
    <row r="11" spans="2:12" x14ac:dyDescent="0.25">
      <c r="B11" s="26" t="s">
        <v>162</v>
      </c>
      <c r="C11" s="34"/>
      <c r="D11" s="32"/>
      <c r="E11" s="32"/>
      <c r="F11" s="34"/>
      <c r="G11" s="83" t="str">
        <f t="shared" si="0"/>
        <v/>
      </c>
      <c r="H11" s="83" t="str">
        <f t="shared" si="1"/>
        <v/>
      </c>
    </row>
    <row r="12" spans="2:12" ht="25.5" x14ac:dyDescent="0.25">
      <c r="B12" s="154" t="s">
        <v>163</v>
      </c>
      <c r="C12" s="34"/>
      <c r="D12" s="32"/>
      <c r="E12" s="32"/>
      <c r="F12" s="34"/>
      <c r="G12" s="83" t="str">
        <f t="shared" si="0"/>
        <v/>
      </c>
      <c r="H12" s="83" t="str">
        <f t="shared" si="1"/>
        <v/>
      </c>
    </row>
    <row r="13" spans="2:12" x14ac:dyDescent="0.25">
      <c r="B13" s="26" t="s">
        <v>75</v>
      </c>
      <c r="C13" s="34"/>
      <c r="D13" s="32"/>
      <c r="E13" s="32"/>
      <c r="F13" s="34"/>
      <c r="G13" s="83" t="str">
        <f t="shared" si="0"/>
        <v/>
      </c>
      <c r="H13" s="83" t="str">
        <f t="shared" si="1"/>
        <v/>
      </c>
    </row>
    <row r="14" spans="2:12" x14ac:dyDescent="0.25">
      <c r="B14" s="26" t="s">
        <v>76</v>
      </c>
      <c r="C14" s="34">
        <v>54</v>
      </c>
      <c r="D14" s="32"/>
      <c r="E14" s="32"/>
      <c r="F14" s="34"/>
      <c r="G14" s="83">
        <f t="shared" si="0"/>
        <v>0</v>
      </c>
      <c r="H14" s="83" t="str">
        <f t="shared" si="1"/>
        <v/>
      </c>
    </row>
    <row r="15" spans="2:12" x14ac:dyDescent="0.25">
      <c r="B15" s="26" t="s">
        <v>73</v>
      </c>
      <c r="C15" s="34"/>
      <c r="D15" s="32"/>
      <c r="E15" s="32"/>
      <c r="F15" s="34"/>
      <c r="G15" s="83" t="str">
        <f t="shared" si="0"/>
        <v/>
      </c>
      <c r="H15" s="83" t="str">
        <f t="shared" si="1"/>
        <v/>
      </c>
    </row>
    <row r="16" spans="2:12" x14ac:dyDescent="0.25">
      <c r="B16" s="26" t="s">
        <v>164</v>
      </c>
      <c r="C16" s="34"/>
      <c r="D16" s="32"/>
      <c r="E16" s="32"/>
      <c r="F16" s="34"/>
      <c r="G16" s="83" t="str">
        <f t="shared" si="0"/>
        <v/>
      </c>
      <c r="H16" s="83" t="str">
        <f t="shared" si="1"/>
        <v/>
      </c>
    </row>
    <row r="17" spans="2:8" x14ac:dyDescent="0.25">
      <c r="B17" s="69" t="s">
        <v>74</v>
      </c>
      <c r="C17" s="35">
        <f>SUM(C18:C27)</f>
        <v>1496174.88</v>
      </c>
      <c r="D17" s="35">
        <f>SUM(D18:D28)</f>
        <v>1952472.07</v>
      </c>
      <c r="E17" s="35">
        <f>SUM(E18:E28)</f>
        <v>1952472.07</v>
      </c>
      <c r="F17" s="35">
        <f>SUM(F18:F27)</f>
        <v>1416328.54</v>
      </c>
      <c r="G17" s="170">
        <f t="shared" si="0"/>
        <v>94.66330165896116</v>
      </c>
      <c r="H17" s="97">
        <f t="shared" si="1"/>
        <v>72.540271472359649</v>
      </c>
    </row>
    <row r="18" spans="2:8" x14ac:dyDescent="0.25">
      <c r="B18" s="25" t="s">
        <v>72</v>
      </c>
      <c r="C18" s="34">
        <f>1413354.06-C8</f>
        <v>60055.090000000084</v>
      </c>
      <c r="D18" s="32">
        <f>729.96+19425.06+44726.19+4763.42+3096.44+26992.63+17546.6</f>
        <v>117280.30000000002</v>
      </c>
      <c r="E18" s="32">
        <f>729.96+19425.06+44726.19+4763.42+3096.44+26992.63+17546.6</f>
        <v>117280.30000000002</v>
      </c>
      <c r="F18" s="34">
        <f>398.16+56998.61</f>
        <v>57396.770000000004</v>
      </c>
      <c r="G18" s="83">
        <f t="shared" si="0"/>
        <v>95.573530903042396</v>
      </c>
      <c r="H18" s="83">
        <f t="shared" ref="H18" si="2">IFERROR(F18/D18*100,"")</f>
        <v>48.939821947931577</v>
      </c>
    </row>
    <row r="19" spans="2:8" x14ac:dyDescent="0.25">
      <c r="B19" s="25" t="s">
        <v>70</v>
      </c>
      <c r="C19" s="34">
        <f>256197.96-C9</f>
        <v>111138.60999999999</v>
      </c>
      <c r="D19" s="32">
        <f>4160+112938.72+14528.14+1197.3+187.75+22.66+678.7+513.6+80000+52124.62</f>
        <v>266351.49</v>
      </c>
      <c r="E19" s="32">
        <f>4160+112938.72+14528.14+1197.3+187.75+22.66+678.7+513.6+80000+52124.62</f>
        <v>266351.49</v>
      </c>
      <c r="F19" s="34">
        <f>1678.33+117863.89+52365.24</f>
        <v>171907.46</v>
      </c>
      <c r="G19" s="83">
        <f t="shared" si="0"/>
        <v>154.67843263470724</v>
      </c>
      <c r="H19" s="83">
        <f t="shared" si="1"/>
        <v>64.541580000171948</v>
      </c>
    </row>
    <row r="20" spans="2:8" x14ac:dyDescent="0.25">
      <c r="B20" s="25" t="s">
        <v>71</v>
      </c>
      <c r="C20" s="34">
        <f>12867.92-C10</f>
        <v>12124.61</v>
      </c>
      <c r="D20" s="32">
        <v>38642.93</v>
      </c>
      <c r="E20" s="32">
        <v>38642.93</v>
      </c>
      <c r="F20" s="34">
        <v>20822.669999999998</v>
      </c>
      <c r="G20" s="83">
        <f t="shared" si="0"/>
        <v>171.73888479711923</v>
      </c>
      <c r="H20" s="83"/>
    </row>
    <row r="21" spans="2:8" x14ac:dyDescent="0.25">
      <c r="B21" s="26" t="s">
        <v>175</v>
      </c>
      <c r="C21" s="34">
        <v>7887.08</v>
      </c>
      <c r="D21" s="32"/>
      <c r="E21" s="32"/>
      <c r="F21" s="34"/>
      <c r="G21" s="83">
        <f t="shared" si="0"/>
        <v>0</v>
      </c>
      <c r="H21" s="83"/>
    </row>
    <row r="22" spans="2:8" ht="25.5" x14ac:dyDescent="0.25">
      <c r="B22" s="154" t="s">
        <v>176</v>
      </c>
      <c r="C22" s="34">
        <v>52804.03</v>
      </c>
      <c r="D22" s="32"/>
      <c r="E22" s="32"/>
      <c r="F22" s="34"/>
      <c r="G22" s="83">
        <f t="shared" si="0"/>
        <v>0</v>
      </c>
      <c r="H22" s="83"/>
    </row>
    <row r="23" spans="2:8" x14ac:dyDescent="0.25">
      <c r="B23" s="25" t="s">
        <v>75</v>
      </c>
      <c r="C23" s="34"/>
      <c r="D23" s="32"/>
      <c r="E23" s="32"/>
      <c r="F23" s="34"/>
      <c r="G23" s="83" t="str">
        <f t="shared" si="0"/>
        <v/>
      </c>
      <c r="H23" s="83" t="str">
        <f t="shared" si="1"/>
        <v/>
      </c>
    </row>
    <row r="24" spans="2:8" x14ac:dyDescent="0.25">
      <c r="B24" s="25" t="s">
        <v>76</v>
      </c>
      <c r="C24" s="34">
        <f>23267.22-C14</f>
        <v>23213.22</v>
      </c>
      <c r="D24" s="32">
        <v>54</v>
      </c>
      <c r="E24" s="32">
        <v>54</v>
      </c>
      <c r="F24" s="34">
        <v>58.5</v>
      </c>
      <c r="G24" s="83">
        <f t="shared" si="0"/>
        <v>0.25201156926958002</v>
      </c>
      <c r="H24" s="83">
        <f t="shared" si="1"/>
        <v>108.33333333333333</v>
      </c>
    </row>
    <row r="25" spans="2:8" ht="25.5" x14ac:dyDescent="0.25">
      <c r="B25" s="206" t="s">
        <v>215</v>
      </c>
      <c r="C25" s="34"/>
      <c r="D25" s="32"/>
      <c r="E25" s="32"/>
      <c r="F25" s="34"/>
      <c r="G25" s="83"/>
      <c r="H25" s="83"/>
    </row>
    <row r="26" spans="2:8" ht="25.5" x14ac:dyDescent="0.25">
      <c r="B26" s="25" t="s">
        <v>115</v>
      </c>
      <c r="C26" s="34">
        <v>8321.5300000000007</v>
      </c>
      <c r="D26" s="32">
        <f>930+267+157125.28</f>
        <v>158322.28</v>
      </c>
      <c r="E26" s="32">
        <f>930+267+157125.28</f>
        <v>158322.28</v>
      </c>
      <c r="F26" s="34">
        <v>161136.93</v>
      </c>
      <c r="G26" s="83">
        <f t="shared" si="0"/>
        <v>1936.3858569277522</v>
      </c>
      <c r="H26" s="83">
        <f t="shared" si="1"/>
        <v>101.77779779321014</v>
      </c>
    </row>
    <row r="27" spans="2:8" ht="25.5" x14ac:dyDescent="0.25">
      <c r="B27" s="154" t="s">
        <v>177</v>
      </c>
      <c r="C27" s="34">
        <v>1220630.71</v>
      </c>
      <c r="D27" s="32">
        <f>148278.57+1063424.09</f>
        <v>1211702.6600000001</v>
      </c>
      <c r="E27" s="32">
        <f>148278.57+1063424.09</f>
        <v>1211702.6600000001</v>
      </c>
      <c r="F27" s="34">
        <v>1005006.21</v>
      </c>
      <c r="G27" s="83">
        <f t="shared" si="0"/>
        <v>82.334993029955811</v>
      </c>
      <c r="H27" s="166"/>
    </row>
    <row r="28" spans="2:8" ht="25.5" x14ac:dyDescent="0.25">
      <c r="B28" s="206" t="s">
        <v>237</v>
      </c>
      <c r="C28" s="166"/>
      <c r="D28" s="34">
        <v>160118.41</v>
      </c>
      <c r="E28" s="34">
        <v>160118.41</v>
      </c>
      <c r="F28" s="166">
        <v>0</v>
      </c>
      <c r="G28" s="166"/>
      <c r="H28" s="166"/>
    </row>
    <row r="29" spans="2:8" x14ac:dyDescent="0.25">
      <c r="C29" s="100"/>
    </row>
    <row r="30" spans="2:8" x14ac:dyDescent="0.25">
      <c r="C30" s="100"/>
      <c r="F30" s="100"/>
    </row>
    <row r="31" spans="2:8" x14ac:dyDescent="0.25">
      <c r="C31" s="100"/>
    </row>
    <row r="32" spans="2:8" x14ac:dyDescent="0.25">
      <c r="C32" s="100"/>
    </row>
    <row r="33" spans="3:3" x14ac:dyDescent="0.25">
      <c r="C33" s="100"/>
    </row>
    <row r="34" spans="3:3" x14ac:dyDescent="0.25">
      <c r="C34" s="100"/>
    </row>
    <row r="35" spans="3:3" x14ac:dyDescent="0.25">
      <c r="C35" s="100"/>
    </row>
    <row r="36" spans="3:3" x14ac:dyDescent="0.25">
      <c r="C36" s="100"/>
    </row>
    <row r="37" spans="3:3" x14ac:dyDescent="0.25">
      <c r="C37" s="100"/>
    </row>
    <row r="38" spans="3:3" x14ac:dyDescent="0.25">
      <c r="C38" s="100"/>
    </row>
    <row r="39" spans="3:3" x14ac:dyDescent="0.25">
      <c r="C39" s="100"/>
    </row>
    <row r="40" spans="3:3" x14ac:dyDescent="0.25">
      <c r="C40" s="100"/>
    </row>
    <row r="41" spans="3:3" x14ac:dyDescent="0.25">
      <c r="C41" s="100"/>
    </row>
    <row r="42" spans="3:3" x14ac:dyDescent="0.25">
      <c r="C42" s="100"/>
    </row>
    <row r="43" spans="3:3" x14ac:dyDescent="0.25">
      <c r="C43" s="100"/>
    </row>
    <row r="44" spans="3:3" x14ac:dyDescent="0.25">
      <c r="C44" s="100"/>
    </row>
  </sheetData>
  <mergeCells count="1">
    <mergeCell ref="B2:H2"/>
  </mergeCells>
  <phoneticPr fontId="35" type="noConversion"/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64"/>
  <sheetViews>
    <sheetView topLeftCell="B142" zoomScale="90" zoomScaleNormal="90" workbookViewId="0">
      <selection activeCell="J87" sqref="J87"/>
    </sheetView>
  </sheetViews>
  <sheetFormatPr defaultColWidth="8.85546875"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5.7109375" customWidth="1"/>
    <col min="7" max="7" width="25.28515625" style="100" customWidth="1"/>
    <col min="8" max="10" width="25.28515625" customWidth="1"/>
    <col min="11" max="12" width="15.7109375" customWidth="1"/>
    <col min="16" max="16" width="17.140625" customWidth="1"/>
  </cols>
  <sheetData>
    <row r="1" spans="1:16" ht="18" x14ac:dyDescent="0.25">
      <c r="B1" s="2"/>
      <c r="C1" s="2"/>
      <c r="D1" s="2"/>
      <c r="E1" s="2"/>
      <c r="F1" s="2"/>
      <c r="G1" s="147"/>
      <c r="H1" s="2"/>
      <c r="I1" s="2"/>
      <c r="J1" s="3"/>
      <c r="K1" s="3"/>
    </row>
    <row r="2" spans="1:16" ht="15.75" customHeight="1" x14ac:dyDescent="0.25">
      <c r="B2" s="238" t="s">
        <v>114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6" ht="18" x14ac:dyDescent="0.25">
      <c r="B3" s="2"/>
      <c r="C3" s="2"/>
      <c r="D3" s="2"/>
      <c r="E3" s="2"/>
      <c r="F3" s="2"/>
      <c r="G3" s="147"/>
      <c r="H3" s="2"/>
      <c r="I3" s="2"/>
      <c r="J3" s="3"/>
      <c r="K3" s="3"/>
      <c r="L3" s="157"/>
    </row>
    <row r="4" spans="1:16" ht="32.25" customHeight="1" x14ac:dyDescent="0.25">
      <c r="B4" s="249" t="s">
        <v>6</v>
      </c>
      <c r="C4" s="250"/>
      <c r="D4" s="250"/>
      <c r="E4" s="250"/>
      <c r="F4" s="251"/>
      <c r="G4" s="223" t="s">
        <v>211</v>
      </c>
      <c r="H4" s="146" t="s">
        <v>226</v>
      </c>
      <c r="I4" s="146" t="s">
        <v>227</v>
      </c>
      <c r="J4" s="146" t="s">
        <v>228</v>
      </c>
      <c r="K4" s="29" t="s">
        <v>10</v>
      </c>
      <c r="L4" s="29" t="s">
        <v>22</v>
      </c>
    </row>
    <row r="5" spans="1:16" s="23" customFormat="1" ht="11.25" x14ac:dyDescent="0.2">
      <c r="B5" s="252">
        <v>1</v>
      </c>
      <c r="C5" s="253"/>
      <c r="D5" s="253"/>
      <c r="E5" s="253"/>
      <c r="F5" s="254"/>
      <c r="G5" s="214">
        <v>2</v>
      </c>
      <c r="H5" s="30">
        <v>3</v>
      </c>
      <c r="I5" s="30">
        <v>4</v>
      </c>
      <c r="J5" s="30">
        <v>5</v>
      </c>
      <c r="K5" s="30" t="s">
        <v>12</v>
      </c>
      <c r="L5" s="30" t="s">
        <v>165</v>
      </c>
    </row>
    <row r="6" spans="1:16" x14ac:dyDescent="0.25">
      <c r="B6" s="53"/>
      <c r="C6" s="53"/>
      <c r="D6" s="53"/>
      <c r="E6" s="53"/>
      <c r="F6" s="53" t="s">
        <v>23</v>
      </c>
      <c r="G6" s="55">
        <f>G7+G10+G13+G17+G26+G29+G35+G38</f>
        <v>2875555.8200000003</v>
      </c>
      <c r="H6" s="55">
        <f>H7+H10+H13+H17+H26+H29+H35+H38+H20+H23</f>
        <v>5415740.2700000005</v>
      </c>
      <c r="I6" s="55">
        <f>I7+I10+I13+I17+I26+I29+I35+I38+I20+I23</f>
        <v>5415740.2700000005</v>
      </c>
      <c r="J6" s="55">
        <f>J7+J10+J13+J17+J26+J29+J35+J38+J23</f>
        <v>2922515.19</v>
      </c>
      <c r="K6" s="85">
        <f t="shared" ref="K6:K12" si="0">IFERROR(J6/G6*100,"")</f>
        <v>101.63305367516739</v>
      </c>
      <c r="L6" s="85">
        <f>IFERROR(J6/H6*100,"")</f>
        <v>53.963355779615327</v>
      </c>
    </row>
    <row r="7" spans="1:16" x14ac:dyDescent="0.25">
      <c r="B7" s="53"/>
      <c r="C7" s="53"/>
      <c r="D7" s="53"/>
      <c r="E7" s="53"/>
      <c r="F7" s="53" t="s">
        <v>78</v>
      </c>
      <c r="G7" s="55">
        <f>SUM(G8)</f>
        <v>258777.71</v>
      </c>
      <c r="H7" s="55">
        <f t="shared" ref="H7:I7" si="1">SUM(H8)</f>
        <v>539063.85</v>
      </c>
      <c r="I7" s="55">
        <f t="shared" si="1"/>
        <v>539063.85</v>
      </c>
      <c r="J7" s="55">
        <f>SUM(J8)</f>
        <v>448685.60000000003</v>
      </c>
      <c r="K7" s="85">
        <f t="shared" si="0"/>
        <v>173.38649453231503</v>
      </c>
      <c r="L7" s="85">
        <f>IFERROR(J7/H7*100,"")</f>
        <v>83.234221697485381</v>
      </c>
    </row>
    <row r="8" spans="1:16" x14ac:dyDescent="0.25">
      <c r="B8" s="70">
        <v>6</v>
      </c>
      <c r="C8" s="70"/>
      <c r="D8" s="70">
        <v>6</v>
      </c>
      <c r="E8" s="70"/>
      <c r="F8" s="70" t="s">
        <v>2</v>
      </c>
      <c r="G8" s="64">
        <f>SUM(G9)</f>
        <v>258777.71</v>
      </c>
      <c r="H8" s="64">
        <f t="shared" ref="H8:I8" si="2">SUM(H9)</f>
        <v>539063.85</v>
      </c>
      <c r="I8" s="64">
        <f t="shared" si="2"/>
        <v>539063.85</v>
      </c>
      <c r="J8" s="64">
        <f>SUM(J9)</f>
        <v>448685.60000000003</v>
      </c>
      <c r="K8" s="123">
        <f t="shared" si="0"/>
        <v>173.38649453231503</v>
      </c>
      <c r="L8" s="102">
        <f t="shared" ref="L8:L40" si="3">IFERROR(J8/H8*100,"")</f>
        <v>83.234221697485381</v>
      </c>
    </row>
    <row r="9" spans="1:16" x14ac:dyDescent="0.25">
      <c r="B9" s="5"/>
      <c r="C9" s="8">
        <v>67</v>
      </c>
      <c r="D9" s="8"/>
      <c r="E9" s="8">
        <v>67</v>
      </c>
      <c r="F9" s="8" t="s">
        <v>113</v>
      </c>
      <c r="G9" s="74">
        <f>331.8+18268.3+240177.61</f>
        <v>258777.71</v>
      </c>
      <c r="H9" s="73">
        <f>729.96+23585.06+311700.06+157125.28+45923.49</f>
        <v>539063.85</v>
      </c>
      <c r="I9" s="73">
        <f>729.96+23585.06+311700.06+157125.28+45923.49</f>
        <v>539063.85</v>
      </c>
      <c r="J9" s="74">
        <f>199.08+32318.16+569157.8-148278.57-4710.87</f>
        <v>448685.60000000003</v>
      </c>
      <c r="K9" s="123">
        <f t="shared" si="0"/>
        <v>173.38649453231503</v>
      </c>
      <c r="L9" s="168">
        <f t="shared" si="3"/>
        <v>83.234221697485381</v>
      </c>
      <c r="P9" s="100"/>
    </row>
    <row r="10" spans="1:16" ht="25.5" x14ac:dyDescent="0.25">
      <c r="B10" s="53"/>
      <c r="C10" s="117"/>
      <c r="D10" s="117"/>
      <c r="E10" s="117"/>
      <c r="F10" s="53" t="s">
        <v>137</v>
      </c>
      <c r="G10" s="133">
        <f t="shared" ref="G10:J10" si="4">SUM(G11)</f>
        <v>145651.67000000004</v>
      </c>
      <c r="H10" s="133">
        <f t="shared" si="4"/>
        <v>427670.80999999994</v>
      </c>
      <c r="I10" s="133">
        <f t="shared" si="4"/>
        <v>427670.80999999994</v>
      </c>
      <c r="J10" s="133">
        <f t="shared" si="4"/>
        <v>281399.33999999997</v>
      </c>
      <c r="K10" s="85">
        <f t="shared" si="0"/>
        <v>193.20021528074474</v>
      </c>
      <c r="L10" s="85">
        <f t="shared" si="3"/>
        <v>65.798117014345678</v>
      </c>
    </row>
    <row r="11" spans="1:16" x14ac:dyDescent="0.25">
      <c r="B11" s="109">
        <v>6</v>
      </c>
      <c r="C11" s="109"/>
      <c r="D11" s="120">
        <v>6</v>
      </c>
      <c r="E11" s="109"/>
      <c r="F11" s="120" t="s">
        <v>2</v>
      </c>
      <c r="G11" s="134">
        <f t="shared" ref="G11:J11" si="5">SUM(G12)</f>
        <v>145651.67000000004</v>
      </c>
      <c r="H11" s="134">
        <f t="shared" si="5"/>
        <v>427670.80999999994</v>
      </c>
      <c r="I11" s="134">
        <f t="shared" si="5"/>
        <v>427670.80999999994</v>
      </c>
      <c r="J11" s="134">
        <f t="shared" si="5"/>
        <v>281399.33999999997</v>
      </c>
      <c r="K11" s="123">
        <f t="shared" si="0"/>
        <v>193.20021528074474</v>
      </c>
      <c r="L11" s="102">
        <f t="shared" si="3"/>
        <v>65.798117014345678</v>
      </c>
    </row>
    <row r="12" spans="1:16" x14ac:dyDescent="0.25">
      <c r="B12" s="5"/>
      <c r="C12" s="8">
        <v>67</v>
      </c>
      <c r="D12" s="8"/>
      <c r="E12" s="8">
        <v>67</v>
      </c>
      <c r="F12" s="8" t="s">
        <v>113</v>
      </c>
      <c r="G12" s="74">
        <f>385829.28-240177.61</f>
        <v>145651.67000000004</v>
      </c>
      <c r="H12" s="73">
        <f>162806.71+263764.1+1100</f>
        <v>427670.80999999994</v>
      </c>
      <c r="I12" s="73">
        <f>162806.71+263764.1+1100</f>
        <v>427670.80999999994</v>
      </c>
      <c r="J12" s="74">
        <f>128409.9+148278.57+4710.87</f>
        <v>281399.33999999997</v>
      </c>
      <c r="K12" s="123">
        <f t="shared" si="0"/>
        <v>193.20021528074474</v>
      </c>
      <c r="L12" s="168">
        <f t="shared" si="3"/>
        <v>65.798117014345678</v>
      </c>
      <c r="P12" s="100"/>
    </row>
    <row r="13" spans="1:16" x14ac:dyDescent="0.25">
      <c r="B13" s="53"/>
      <c r="C13" s="53"/>
      <c r="D13" s="53"/>
      <c r="E13" s="53"/>
      <c r="F13" s="53" t="s">
        <v>80</v>
      </c>
      <c r="G13" s="119">
        <f t="shared" ref="G13:J13" si="6">SUM(G14)</f>
        <v>34683.939999999995</v>
      </c>
      <c r="H13" s="119">
        <f t="shared" si="6"/>
        <v>50000.12</v>
      </c>
      <c r="I13" s="119">
        <f t="shared" si="6"/>
        <v>50000.12</v>
      </c>
      <c r="J13" s="119">
        <f t="shared" si="6"/>
        <v>39190.11</v>
      </c>
      <c r="K13" s="85">
        <f>IFERROR(J13/G13*100,"")</f>
        <v>112.99209374713486</v>
      </c>
      <c r="L13" s="85">
        <f t="shared" si="3"/>
        <v>78.380031887923465</v>
      </c>
    </row>
    <row r="14" spans="1:16" x14ac:dyDescent="0.25">
      <c r="A14" s="94"/>
      <c r="B14" s="70">
        <v>6</v>
      </c>
      <c r="C14" s="70"/>
      <c r="D14" s="70">
        <v>6</v>
      </c>
      <c r="E14" s="70"/>
      <c r="F14" s="70" t="s">
        <v>2</v>
      </c>
      <c r="G14" s="71">
        <f t="shared" ref="G14" si="7">SUM(G15:G16)</f>
        <v>34683.939999999995</v>
      </c>
      <c r="H14" s="71">
        <f t="shared" ref="H14" si="8">SUM(H15:H16)</f>
        <v>50000.12</v>
      </c>
      <c r="I14" s="71">
        <f t="shared" ref="I14" si="9">SUM(I15:I16)</f>
        <v>50000.12</v>
      </c>
      <c r="J14" s="71">
        <f t="shared" ref="J14" si="10">SUM(J15:J16)</f>
        <v>39190.11</v>
      </c>
      <c r="K14" s="102">
        <f t="shared" ref="K14:K40" si="11">IFERROR(J14/G14*100,"")</f>
        <v>112.99209374713486</v>
      </c>
      <c r="L14" s="102">
        <f t="shared" si="3"/>
        <v>78.380031887923465</v>
      </c>
    </row>
    <row r="15" spans="1:16" x14ac:dyDescent="0.25">
      <c r="A15" s="94"/>
      <c r="B15" s="6"/>
      <c r="C15" s="6">
        <v>64</v>
      </c>
      <c r="D15" s="7"/>
      <c r="E15" s="7">
        <v>64</v>
      </c>
      <c r="F15" s="6" t="s">
        <v>88</v>
      </c>
      <c r="G15" s="74">
        <v>0.52</v>
      </c>
      <c r="H15" s="73">
        <v>0.12</v>
      </c>
      <c r="I15" s="73">
        <v>0.12</v>
      </c>
      <c r="J15" s="74">
        <v>1.81</v>
      </c>
      <c r="K15" s="93">
        <f t="shared" si="11"/>
        <v>348.07692307692309</v>
      </c>
      <c r="L15" s="168">
        <f t="shared" si="3"/>
        <v>1508.3333333333335</v>
      </c>
      <c r="P15" s="100"/>
    </row>
    <row r="16" spans="1:16" x14ac:dyDescent="0.25">
      <c r="A16" s="94"/>
      <c r="B16" s="6"/>
      <c r="C16" s="6">
        <v>66</v>
      </c>
      <c r="D16" s="7"/>
      <c r="E16" s="6">
        <v>66</v>
      </c>
      <c r="F16" s="6" t="s">
        <v>138</v>
      </c>
      <c r="G16" s="74">
        <v>34683.42</v>
      </c>
      <c r="H16" s="73">
        <v>50000</v>
      </c>
      <c r="I16" s="73">
        <v>50000</v>
      </c>
      <c r="J16" s="224">
        <v>39188.300000000003</v>
      </c>
      <c r="K16" s="93"/>
      <c r="L16" s="168">
        <f t="shared" si="3"/>
        <v>78.37660000000001</v>
      </c>
      <c r="P16" s="100"/>
    </row>
    <row r="17" spans="2:16" x14ac:dyDescent="0.25">
      <c r="B17" s="53"/>
      <c r="C17" s="53"/>
      <c r="D17" s="53"/>
      <c r="E17" s="53"/>
      <c r="F17" s="79" t="s">
        <v>83</v>
      </c>
      <c r="G17" s="119">
        <f t="shared" ref="G17:J17" si="12">G18</f>
        <v>420</v>
      </c>
      <c r="H17" s="119">
        <f t="shared" si="12"/>
        <v>10000</v>
      </c>
      <c r="I17" s="119">
        <f t="shared" si="12"/>
        <v>10000</v>
      </c>
      <c r="J17" s="119">
        <f t="shared" si="12"/>
        <v>1494.43</v>
      </c>
      <c r="K17" s="85">
        <f t="shared" si="11"/>
        <v>355.81666666666666</v>
      </c>
      <c r="L17" s="85">
        <f t="shared" si="3"/>
        <v>14.944299999999998</v>
      </c>
    </row>
    <row r="18" spans="2:16" x14ac:dyDescent="0.25">
      <c r="B18" s="70">
        <v>6</v>
      </c>
      <c r="C18" s="70"/>
      <c r="D18" s="70">
        <v>6</v>
      </c>
      <c r="E18" s="70"/>
      <c r="F18" s="70" t="s">
        <v>2</v>
      </c>
      <c r="G18" s="71">
        <f>SUM(G19)</f>
        <v>420</v>
      </c>
      <c r="H18" s="71">
        <v>10000</v>
      </c>
      <c r="I18" s="71">
        <v>10000</v>
      </c>
      <c r="J18" s="71">
        <f>SUM(J19)</f>
        <v>1494.43</v>
      </c>
      <c r="K18" s="102">
        <f t="shared" si="11"/>
        <v>355.81666666666666</v>
      </c>
      <c r="L18" s="102">
        <f t="shared" si="3"/>
        <v>14.944299999999998</v>
      </c>
    </row>
    <row r="19" spans="2:16" ht="25.5" x14ac:dyDescent="0.25">
      <c r="B19" s="6"/>
      <c r="C19" s="6">
        <v>65</v>
      </c>
      <c r="D19" s="7"/>
      <c r="E19" s="7">
        <v>65</v>
      </c>
      <c r="F19" s="24" t="s">
        <v>89</v>
      </c>
      <c r="G19" s="63">
        <v>420</v>
      </c>
      <c r="H19" s="73">
        <v>10000</v>
      </c>
      <c r="I19" s="73">
        <v>10000</v>
      </c>
      <c r="J19" s="63">
        <v>1494.43</v>
      </c>
      <c r="K19" s="93">
        <f>IFERROR(J19/G16*100,"")</f>
        <v>4.3087734715895953</v>
      </c>
      <c r="L19" s="168">
        <f t="shared" si="3"/>
        <v>14.944299999999998</v>
      </c>
    </row>
    <row r="20" spans="2:16" x14ac:dyDescent="0.25">
      <c r="B20" s="53"/>
      <c r="C20" s="53"/>
      <c r="D20" s="53"/>
      <c r="E20" s="53"/>
      <c r="F20" s="53" t="s">
        <v>223</v>
      </c>
      <c r="G20" s="119">
        <f t="shared" ref="G20:J20" si="13">G21</f>
        <v>0</v>
      </c>
      <c r="H20" s="119">
        <f t="shared" si="13"/>
        <v>8070.27</v>
      </c>
      <c r="I20" s="119">
        <f t="shared" si="13"/>
        <v>8070.27</v>
      </c>
      <c r="J20" s="119">
        <f t="shared" si="13"/>
        <v>0</v>
      </c>
      <c r="K20" s="85" t="str">
        <f t="shared" ref="K20" si="14">IFERROR(J20/G20*100,"")</f>
        <v/>
      </c>
      <c r="L20" s="85">
        <f t="shared" ref="L20" si="15">IFERROR(J20/H20*100,"")</f>
        <v>0</v>
      </c>
    </row>
    <row r="21" spans="2:16" x14ac:dyDescent="0.25">
      <c r="B21" s="70">
        <v>6</v>
      </c>
      <c r="C21" s="70"/>
      <c r="D21" s="70">
        <v>6</v>
      </c>
      <c r="E21" s="70"/>
      <c r="F21" s="70" t="s">
        <v>2</v>
      </c>
      <c r="G21" s="63">
        <v>0</v>
      </c>
      <c r="H21" s="73">
        <f>SUM(H22)</f>
        <v>8070.27</v>
      </c>
      <c r="I21" s="73">
        <f>SUM(I22)</f>
        <v>8070.27</v>
      </c>
      <c r="J21" s="63"/>
      <c r="K21" s="93"/>
      <c r="L21" s="168"/>
    </row>
    <row r="22" spans="2:16" ht="25.5" x14ac:dyDescent="0.25">
      <c r="B22" s="5"/>
      <c r="C22" s="8">
        <v>63</v>
      </c>
      <c r="D22" s="8"/>
      <c r="E22" s="8">
        <v>63</v>
      </c>
      <c r="F22" s="8" t="s">
        <v>14</v>
      </c>
      <c r="G22" s="63">
        <v>0</v>
      </c>
      <c r="H22" s="73">
        <f>4951.17+3119.1</f>
        <v>8070.27</v>
      </c>
      <c r="I22" s="73">
        <f>4951.17+3119.1</f>
        <v>8070.27</v>
      </c>
      <c r="J22" s="63"/>
      <c r="K22" s="93"/>
      <c r="L22" s="168"/>
    </row>
    <row r="23" spans="2:16" x14ac:dyDescent="0.25">
      <c r="B23" s="53"/>
      <c r="C23" s="53"/>
      <c r="D23" s="53"/>
      <c r="E23" s="53"/>
      <c r="F23" s="53" t="s">
        <v>242</v>
      </c>
      <c r="G23" s="119">
        <f t="shared" ref="G23:J23" si="16">G24</f>
        <v>0</v>
      </c>
      <c r="H23" s="119">
        <f t="shared" si="16"/>
        <v>45731.53</v>
      </c>
      <c r="I23" s="119">
        <f t="shared" si="16"/>
        <v>45731.53</v>
      </c>
      <c r="J23" s="119">
        <f t="shared" si="16"/>
        <v>26814.73</v>
      </c>
      <c r="K23" s="85" t="str">
        <f t="shared" ref="K23" si="17">IFERROR(J23/G23*100,"")</f>
        <v/>
      </c>
      <c r="L23" s="85">
        <f t="shared" ref="L23" si="18">IFERROR(J23/H23*100,"")</f>
        <v>58.635103614508409</v>
      </c>
    </row>
    <row r="24" spans="2:16" x14ac:dyDescent="0.25">
      <c r="B24" s="70">
        <v>6</v>
      </c>
      <c r="C24" s="70"/>
      <c r="D24" s="70">
        <v>6</v>
      </c>
      <c r="E24" s="70"/>
      <c r="F24" s="70" t="s">
        <v>2</v>
      </c>
      <c r="G24" s="63">
        <v>0</v>
      </c>
      <c r="H24" s="73">
        <f>SUM(H25)</f>
        <v>45731.53</v>
      </c>
      <c r="I24" s="73">
        <f>SUM(I25)</f>
        <v>45731.53</v>
      </c>
      <c r="J24" s="73">
        <f>SUM(J25)</f>
        <v>26814.73</v>
      </c>
      <c r="K24" s="93"/>
      <c r="L24" s="168"/>
    </row>
    <row r="25" spans="2:16" ht="25.5" x14ac:dyDescent="0.25">
      <c r="B25" s="5"/>
      <c r="C25" s="8">
        <v>63</v>
      </c>
      <c r="D25" s="8"/>
      <c r="E25" s="8">
        <v>63</v>
      </c>
      <c r="F25" s="8" t="s">
        <v>14</v>
      </c>
      <c r="G25" s="63">
        <v>0</v>
      </c>
      <c r="H25" s="73">
        <f>27671.33+18060.2</f>
        <v>45731.53</v>
      </c>
      <c r="I25" s="73">
        <f>27671.33+18060.2</f>
        <v>45731.53</v>
      </c>
      <c r="J25" s="63">
        <f>26814.73</f>
        <v>26814.73</v>
      </c>
      <c r="K25" s="93"/>
      <c r="L25" s="168"/>
    </row>
    <row r="26" spans="2:16" x14ac:dyDescent="0.25">
      <c r="B26" s="53"/>
      <c r="C26" s="53"/>
      <c r="D26" s="53"/>
      <c r="E26" s="53"/>
      <c r="F26" s="53" t="s">
        <v>84</v>
      </c>
      <c r="G26" s="119">
        <f t="shared" ref="G26:J26" si="19">G27</f>
        <v>1380787.74</v>
      </c>
      <c r="H26" s="119">
        <f t="shared" si="19"/>
        <v>4255203.6900000004</v>
      </c>
      <c r="I26" s="119">
        <f t="shared" si="19"/>
        <v>4255203.6900000004</v>
      </c>
      <c r="J26" s="119">
        <f t="shared" si="19"/>
        <v>2122146.5699999998</v>
      </c>
      <c r="K26" s="85">
        <f t="shared" si="11"/>
        <v>153.69100612089733</v>
      </c>
      <c r="L26" s="85">
        <f t="shared" si="3"/>
        <v>49.871797559002388</v>
      </c>
    </row>
    <row r="27" spans="2:16" x14ac:dyDescent="0.25">
      <c r="B27" s="70">
        <v>6</v>
      </c>
      <c r="C27" s="70"/>
      <c r="D27" s="70">
        <v>6</v>
      </c>
      <c r="E27" s="70"/>
      <c r="F27" s="70" t="s">
        <v>2</v>
      </c>
      <c r="G27" s="71">
        <f t="shared" ref="G27:J27" si="20">G28</f>
        <v>1380787.74</v>
      </c>
      <c r="H27" s="71">
        <f t="shared" si="20"/>
        <v>4255203.6900000004</v>
      </c>
      <c r="I27" s="71">
        <f t="shared" si="20"/>
        <v>4255203.6900000004</v>
      </c>
      <c r="J27" s="71">
        <f t="shared" si="20"/>
        <v>2122146.5699999998</v>
      </c>
      <c r="K27" s="102">
        <f t="shared" si="11"/>
        <v>153.69100612089733</v>
      </c>
      <c r="L27" s="102">
        <f t="shared" si="3"/>
        <v>49.871797559002388</v>
      </c>
    </row>
    <row r="28" spans="2:16" ht="25.5" x14ac:dyDescent="0.25">
      <c r="B28" s="5"/>
      <c r="C28" s="8">
        <v>63</v>
      </c>
      <c r="D28" s="8"/>
      <c r="E28" s="8">
        <v>63</v>
      </c>
      <c r="F28" s="8" t="s">
        <v>14</v>
      </c>
      <c r="G28" s="74">
        <f>20995.9+1359791.84</f>
        <v>1380787.74</v>
      </c>
      <c r="H28" s="73">
        <v>4255203.6900000004</v>
      </c>
      <c r="I28" s="73">
        <v>4255203.6900000004</v>
      </c>
      <c r="J28" s="74">
        <f>1551668.2+570478.37</f>
        <v>2122146.5699999998</v>
      </c>
      <c r="K28" s="93">
        <f t="shared" si="11"/>
        <v>153.69100612089733</v>
      </c>
      <c r="L28" s="102">
        <f t="shared" si="3"/>
        <v>49.871797559002388</v>
      </c>
      <c r="P28" s="100"/>
    </row>
    <row r="29" spans="2:16" x14ac:dyDescent="0.25">
      <c r="B29" s="53"/>
      <c r="C29" s="53"/>
      <c r="D29" s="53"/>
      <c r="E29" s="53"/>
      <c r="F29" s="53" t="s">
        <v>85</v>
      </c>
      <c r="G29" s="119">
        <f t="shared" ref="G29:J29" si="21">G30</f>
        <v>875</v>
      </c>
      <c r="H29" s="119">
        <f t="shared" si="21"/>
        <v>0</v>
      </c>
      <c r="I29" s="119">
        <f t="shared" si="21"/>
        <v>0</v>
      </c>
      <c r="J29" s="119">
        <f t="shared" si="21"/>
        <v>0</v>
      </c>
      <c r="K29" s="85">
        <f t="shared" si="11"/>
        <v>0</v>
      </c>
      <c r="L29" s="85" t="str">
        <f t="shared" si="3"/>
        <v/>
      </c>
      <c r="P29" s="100"/>
    </row>
    <row r="30" spans="2:16" x14ac:dyDescent="0.25">
      <c r="B30" s="70">
        <v>6</v>
      </c>
      <c r="C30" s="70"/>
      <c r="D30" s="70">
        <v>6</v>
      </c>
      <c r="E30" s="70"/>
      <c r="F30" s="70" t="s">
        <v>2</v>
      </c>
      <c r="G30" s="200">
        <f t="shared" ref="G30:J30" si="22">SUM(G31)</f>
        <v>875</v>
      </c>
      <c r="H30" s="200">
        <f t="shared" si="22"/>
        <v>0</v>
      </c>
      <c r="I30" s="200">
        <f t="shared" si="22"/>
        <v>0</v>
      </c>
      <c r="J30" s="200">
        <f t="shared" si="22"/>
        <v>0</v>
      </c>
      <c r="K30" s="123">
        <f t="shared" si="11"/>
        <v>0</v>
      </c>
      <c r="L30" s="102" t="str">
        <f t="shared" si="3"/>
        <v/>
      </c>
    </row>
    <row r="31" spans="2:16" x14ac:dyDescent="0.25">
      <c r="B31" s="5"/>
      <c r="C31" s="8">
        <v>66</v>
      </c>
      <c r="D31" s="5"/>
      <c r="E31" s="8">
        <v>66</v>
      </c>
      <c r="F31" s="8" t="s">
        <v>112</v>
      </c>
      <c r="G31" s="32">
        <v>875</v>
      </c>
      <c r="H31" s="32"/>
      <c r="I31" s="32"/>
      <c r="J31" s="32"/>
      <c r="K31" s="123">
        <f t="shared" si="11"/>
        <v>0</v>
      </c>
      <c r="L31" s="168" t="str">
        <f t="shared" si="3"/>
        <v/>
      </c>
    </row>
    <row r="32" spans="2:16" x14ac:dyDescent="0.25">
      <c r="B32" s="53"/>
      <c r="C32" s="117"/>
      <c r="D32" s="53"/>
      <c r="E32" s="117"/>
      <c r="F32" s="53" t="s">
        <v>139</v>
      </c>
      <c r="G32" s="67"/>
      <c r="H32" s="67"/>
      <c r="I32" s="67"/>
      <c r="J32" s="67"/>
      <c r="K32" s="86" t="str">
        <f t="shared" si="11"/>
        <v/>
      </c>
      <c r="L32" s="85" t="str">
        <f t="shared" si="3"/>
        <v/>
      </c>
      <c r="P32" s="100"/>
    </row>
    <row r="33" spans="2:16" x14ac:dyDescent="0.25">
      <c r="B33" s="5"/>
      <c r="C33" s="8"/>
      <c r="D33" s="5">
        <v>7</v>
      </c>
      <c r="E33" s="8"/>
      <c r="F33" s="5" t="s">
        <v>123</v>
      </c>
      <c r="G33" s="32"/>
      <c r="H33" s="32"/>
      <c r="I33" s="32"/>
      <c r="J33" s="32"/>
      <c r="K33" s="102" t="str">
        <f t="shared" si="11"/>
        <v/>
      </c>
      <c r="L33" s="102" t="str">
        <f t="shared" si="3"/>
        <v/>
      </c>
      <c r="P33" s="100"/>
    </row>
    <row r="34" spans="2:16" x14ac:dyDescent="0.25">
      <c r="B34" s="5"/>
      <c r="C34" s="8">
        <v>72</v>
      </c>
      <c r="D34" s="5"/>
      <c r="E34" s="8">
        <v>72</v>
      </c>
      <c r="F34" s="8" t="s">
        <v>126</v>
      </c>
      <c r="G34" s="32"/>
      <c r="H34" s="32"/>
      <c r="I34" s="32"/>
      <c r="J34" s="32"/>
      <c r="K34" s="102" t="str">
        <f t="shared" si="11"/>
        <v/>
      </c>
      <c r="L34" s="102" t="str">
        <f t="shared" si="3"/>
        <v/>
      </c>
    </row>
    <row r="35" spans="2:16" x14ac:dyDescent="0.25">
      <c r="B35" s="53"/>
      <c r="C35" s="117"/>
      <c r="D35" s="53"/>
      <c r="E35" s="117"/>
      <c r="F35" s="53" t="s">
        <v>142</v>
      </c>
      <c r="G35" s="119">
        <f t="shared" ref="G35:J35" si="23">G36</f>
        <v>424571.18</v>
      </c>
      <c r="H35" s="119">
        <f t="shared" si="23"/>
        <v>80000</v>
      </c>
      <c r="I35" s="119">
        <f t="shared" si="23"/>
        <v>80000</v>
      </c>
      <c r="J35" s="119">
        <f t="shared" si="23"/>
        <v>2784.41</v>
      </c>
      <c r="K35" s="86">
        <f t="shared" si="11"/>
        <v>0.65581700576096569</v>
      </c>
      <c r="L35" s="85">
        <f t="shared" si="3"/>
        <v>3.4805125000000001</v>
      </c>
    </row>
    <row r="36" spans="2:16" x14ac:dyDescent="0.25">
      <c r="B36" s="120">
        <v>6</v>
      </c>
      <c r="C36" s="109"/>
      <c r="D36" s="120">
        <v>6</v>
      </c>
      <c r="E36" s="109"/>
      <c r="F36" s="120" t="s">
        <v>2</v>
      </c>
      <c r="G36" s="124">
        <f t="shared" ref="G36:J36" si="24">SUM(G37)</f>
        <v>424571.18</v>
      </c>
      <c r="H36" s="124">
        <f t="shared" si="24"/>
        <v>80000</v>
      </c>
      <c r="I36" s="124">
        <f t="shared" si="24"/>
        <v>80000</v>
      </c>
      <c r="J36" s="124">
        <f t="shared" si="24"/>
        <v>2784.41</v>
      </c>
      <c r="K36" s="123">
        <f t="shared" si="11"/>
        <v>0.65581700576096569</v>
      </c>
      <c r="L36" s="102">
        <f t="shared" si="3"/>
        <v>3.4805125000000001</v>
      </c>
    </row>
    <row r="37" spans="2:16" ht="26.25" customHeight="1" x14ac:dyDescent="0.25">
      <c r="B37" s="5"/>
      <c r="C37" s="8">
        <v>63</v>
      </c>
      <c r="D37" s="8"/>
      <c r="E37" s="8">
        <v>63</v>
      </c>
      <c r="F37" s="8" t="s">
        <v>14</v>
      </c>
      <c r="G37" s="74">
        <f>104110.62+320460.56</f>
        <v>424571.18</v>
      </c>
      <c r="H37" s="73">
        <v>80000</v>
      </c>
      <c r="I37" s="73">
        <v>80000</v>
      </c>
      <c r="J37" s="74">
        <v>2784.41</v>
      </c>
      <c r="K37" s="123">
        <f t="shared" si="11"/>
        <v>0.65581700576096569</v>
      </c>
      <c r="L37" s="168">
        <f t="shared" si="3"/>
        <v>3.4805125000000001</v>
      </c>
    </row>
    <row r="38" spans="2:16" ht="18.75" customHeight="1" x14ac:dyDescent="0.25">
      <c r="B38" s="53"/>
      <c r="C38" s="117"/>
      <c r="D38" s="53"/>
      <c r="E38" s="117"/>
      <c r="F38" s="53" t="s">
        <v>166</v>
      </c>
      <c r="G38" s="119">
        <f t="shared" ref="G38:J38" si="25">G39</f>
        <v>629788.57999999996</v>
      </c>
      <c r="H38" s="119">
        <f t="shared" si="25"/>
        <v>0</v>
      </c>
      <c r="I38" s="119">
        <f t="shared" si="25"/>
        <v>0</v>
      </c>
      <c r="J38" s="119">
        <f t="shared" si="25"/>
        <v>0</v>
      </c>
      <c r="K38" s="86">
        <f t="shared" si="11"/>
        <v>0</v>
      </c>
      <c r="L38" s="85" t="str">
        <f t="shared" si="3"/>
        <v/>
      </c>
    </row>
    <row r="39" spans="2:16" ht="26.25" customHeight="1" x14ac:dyDescent="0.25">
      <c r="B39" s="120">
        <v>8</v>
      </c>
      <c r="C39" s="109"/>
      <c r="D39" s="120">
        <v>8</v>
      </c>
      <c r="E39" s="109"/>
      <c r="F39" s="120" t="s">
        <v>168</v>
      </c>
      <c r="G39" s="124">
        <f t="shared" ref="G39:J39" si="26">G40</f>
        <v>629788.57999999996</v>
      </c>
      <c r="H39" s="124">
        <f t="shared" si="26"/>
        <v>0</v>
      </c>
      <c r="I39" s="124">
        <f t="shared" si="26"/>
        <v>0</v>
      </c>
      <c r="J39" s="124">
        <f t="shared" si="26"/>
        <v>0</v>
      </c>
      <c r="K39" s="123">
        <f t="shared" si="11"/>
        <v>0</v>
      </c>
      <c r="L39" s="102" t="str">
        <f t="shared" si="3"/>
        <v/>
      </c>
    </row>
    <row r="40" spans="2:16" ht="26.25" customHeight="1" x14ac:dyDescent="0.25">
      <c r="B40" s="5"/>
      <c r="C40" s="8">
        <v>84</v>
      </c>
      <c r="D40" s="8"/>
      <c r="E40" s="8">
        <v>84</v>
      </c>
      <c r="F40" s="8" t="s">
        <v>167</v>
      </c>
      <c r="G40" s="74">
        <v>629788.57999999996</v>
      </c>
      <c r="H40" s="73">
        <v>0</v>
      </c>
      <c r="I40" s="73">
        <v>0</v>
      </c>
      <c r="J40" s="74">
        <v>0</v>
      </c>
      <c r="K40" s="123">
        <f t="shared" si="11"/>
        <v>0</v>
      </c>
      <c r="L40" s="168" t="str">
        <f t="shared" si="3"/>
        <v/>
      </c>
    </row>
    <row r="41" spans="2:16" ht="26.25" customHeight="1" x14ac:dyDescent="0.25">
      <c r="B41" s="158"/>
      <c r="C41" s="159"/>
      <c r="D41" s="159"/>
      <c r="E41" s="159"/>
      <c r="F41" s="159"/>
      <c r="G41" s="160"/>
      <c r="H41" s="160"/>
      <c r="I41" s="160"/>
      <c r="J41" s="161"/>
      <c r="K41" s="162"/>
      <c r="L41" s="162"/>
    </row>
    <row r="42" spans="2:16" ht="15.75" customHeight="1" x14ac:dyDescent="0.25">
      <c r="K42" s="91"/>
      <c r="L42" s="91"/>
    </row>
    <row r="43" spans="2:16" ht="15.75" customHeight="1" x14ac:dyDescent="0.25">
      <c r="B43" s="2"/>
      <c r="C43" s="2"/>
      <c r="D43" s="2"/>
      <c r="E43" s="2"/>
      <c r="F43" s="2"/>
      <c r="G43" s="147"/>
      <c r="H43" s="147"/>
      <c r="I43" s="2"/>
      <c r="J43" s="3"/>
      <c r="K43" s="92"/>
      <c r="L43" s="92"/>
    </row>
    <row r="44" spans="2:16" ht="33" customHeight="1" x14ac:dyDescent="0.25">
      <c r="B44" s="249" t="s">
        <v>6</v>
      </c>
      <c r="C44" s="250"/>
      <c r="D44" s="250"/>
      <c r="E44" s="250"/>
      <c r="F44" s="251"/>
      <c r="G44" s="223" t="s">
        <v>211</v>
      </c>
      <c r="H44" s="146" t="s">
        <v>226</v>
      </c>
      <c r="I44" s="146" t="s">
        <v>227</v>
      </c>
      <c r="J44" s="146" t="s">
        <v>228</v>
      </c>
      <c r="K44" s="89" t="s">
        <v>10</v>
      </c>
      <c r="L44" s="89" t="s">
        <v>22</v>
      </c>
    </row>
    <row r="45" spans="2:16" s="23" customFormat="1" ht="11.25" x14ac:dyDescent="0.2">
      <c r="B45" s="255">
        <v>1</v>
      </c>
      <c r="C45" s="256"/>
      <c r="D45" s="256"/>
      <c r="E45" s="256"/>
      <c r="F45" s="257"/>
      <c r="G45" s="148">
        <v>2</v>
      </c>
      <c r="H45" s="30">
        <v>3</v>
      </c>
      <c r="I45" s="30">
        <v>4</v>
      </c>
      <c r="J45" s="30">
        <v>5</v>
      </c>
      <c r="K45" s="90" t="s">
        <v>12</v>
      </c>
      <c r="L45" s="90" t="s">
        <v>13</v>
      </c>
    </row>
    <row r="46" spans="2:16" x14ac:dyDescent="0.25">
      <c r="B46" s="53"/>
      <c r="C46" s="53"/>
      <c r="D46" s="53"/>
      <c r="E46" s="53"/>
      <c r="F46" s="53" t="s">
        <v>20</v>
      </c>
      <c r="G46" s="67">
        <f>G47+G59+G71+G78+G83+G91+G94+G98+G101+G109+G113+G117+G129+G133+G145+G148+G153+G157+G160</f>
        <v>2995330.5100000002</v>
      </c>
      <c r="H46" s="67">
        <f>H47+H59+H71+H78+H83+H91+H94+H98+H101+H109+H113+H117+H129+H133+H145+H148+H153+H157+H160+H105</f>
        <v>5541421.96</v>
      </c>
      <c r="I46" s="67">
        <f>I47+I59+I71+I78+I83+I91+I94+I98+I101+I109+I113+I117+I129+I133+I145+I148+I153+I157+I160+I105</f>
        <v>5541421.96</v>
      </c>
      <c r="J46" s="67">
        <f>J47+J59+J71+J78+J83+J91+J94+J98+J101+J109+J113+J117+J129+J133+J145+J148+J153+J157+J160</f>
        <v>3381054.69</v>
      </c>
      <c r="K46" s="85">
        <f t="shared" ref="K46:K159" si="27">IFERROR(J46/G46*100,"")</f>
        <v>112.87751647813981</v>
      </c>
      <c r="L46" s="85">
        <f t="shared" ref="L46:L159" si="28">IFERROR(J46/H46*100,"")</f>
        <v>61.014207443607127</v>
      </c>
    </row>
    <row r="47" spans="2:16" x14ac:dyDescent="0.25">
      <c r="B47" s="53"/>
      <c r="C47" s="53"/>
      <c r="D47" s="53"/>
      <c r="E47" s="53"/>
      <c r="F47" s="53" t="s">
        <v>78</v>
      </c>
      <c r="G47" s="67">
        <f t="shared" ref="G47" si="29">G48+G54</f>
        <v>26788.910000000003</v>
      </c>
      <c r="H47" s="67">
        <f>H48+H54+H57</f>
        <v>539061.85</v>
      </c>
      <c r="I47" s="67">
        <f>I48+I54+I57</f>
        <v>539061.85</v>
      </c>
      <c r="J47" s="67">
        <f t="shared" ref="J47" si="30">J48+J54</f>
        <v>328824.48086999997</v>
      </c>
      <c r="K47" s="85">
        <f t="shared" si="27"/>
        <v>1227.4649504963058</v>
      </c>
      <c r="L47" s="85">
        <f t="shared" si="28"/>
        <v>60.999397540375</v>
      </c>
    </row>
    <row r="48" spans="2:16" x14ac:dyDescent="0.25">
      <c r="B48" s="70">
        <v>3</v>
      </c>
      <c r="C48" s="70"/>
      <c r="D48" s="70">
        <v>3</v>
      </c>
      <c r="E48" s="70"/>
      <c r="F48" s="70" t="s">
        <v>3</v>
      </c>
      <c r="G48" s="64">
        <f>SUM(G49:G53)</f>
        <v>18467.38</v>
      </c>
      <c r="H48" s="64">
        <f>SUM(H49:H53)</f>
        <v>221820.16</v>
      </c>
      <c r="I48" s="64">
        <f>SUM(I49:I53)</f>
        <v>221820.16</v>
      </c>
      <c r="J48" s="64">
        <f>SUM(J49:J53)</f>
        <v>166105.45087</v>
      </c>
      <c r="K48" s="102">
        <f t="shared" si="27"/>
        <v>899.45325687780291</v>
      </c>
      <c r="L48" s="102">
        <f t="shared" si="28"/>
        <v>74.882937091921676</v>
      </c>
    </row>
    <row r="49" spans="2:17" x14ac:dyDescent="0.25">
      <c r="B49" s="5"/>
      <c r="C49" s="8">
        <v>31</v>
      </c>
      <c r="D49" s="8"/>
      <c r="E49" s="8">
        <v>31</v>
      </c>
      <c r="F49" s="8" t="s">
        <v>4</v>
      </c>
      <c r="G49" s="74">
        <f>18268.3+199.08</f>
        <v>18467.38</v>
      </c>
      <c r="H49" s="73">
        <f>729.96+19425.06+44726.19</f>
        <v>64881.210000000006</v>
      </c>
      <c r="I49" s="73">
        <f>729.96+19425.06+44726.19</f>
        <v>64881.210000000006</v>
      </c>
      <c r="J49" s="74">
        <f>398.16+56998.61*46.05%</f>
        <v>26646.019904999997</v>
      </c>
      <c r="K49" s="93">
        <f t="shared" si="27"/>
        <v>144.28695302203124</v>
      </c>
      <c r="L49" s="93">
        <f t="shared" si="28"/>
        <v>41.068931829415625</v>
      </c>
    </row>
    <row r="50" spans="2:17" s="88" customFormat="1" x14ac:dyDescent="0.25">
      <c r="B50" s="6"/>
      <c r="C50" s="6">
        <v>32</v>
      </c>
      <c r="D50" s="7"/>
      <c r="E50" s="6">
        <v>32</v>
      </c>
      <c r="F50" s="6" t="s">
        <v>9</v>
      </c>
      <c r="G50" s="74"/>
      <c r="H50" s="73">
        <f>4160+112938.72+1197.3</f>
        <v>118296.02</v>
      </c>
      <c r="I50" s="73">
        <f>4160+112938.72+1197.3</f>
        <v>118296.02</v>
      </c>
      <c r="J50" s="74">
        <f>117863.89+1678.33*46.05%</f>
        <v>118636.76096499999</v>
      </c>
      <c r="K50" s="93" t="str">
        <f t="shared" si="27"/>
        <v/>
      </c>
      <c r="L50" s="93">
        <f t="shared" si="28"/>
        <v>100.28804093747195</v>
      </c>
    </row>
    <row r="51" spans="2:17" s="88" customFormat="1" x14ac:dyDescent="0.25">
      <c r="B51" s="6"/>
      <c r="C51" s="6">
        <v>34</v>
      </c>
      <c r="D51" s="7"/>
      <c r="E51" s="6">
        <v>34</v>
      </c>
      <c r="F51" s="8" t="s">
        <v>79</v>
      </c>
      <c r="G51" s="74"/>
      <c r="H51" s="73">
        <v>38642.93</v>
      </c>
      <c r="I51" s="73">
        <v>38642.93</v>
      </c>
      <c r="J51" s="74">
        <v>20822.669999999998</v>
      </c>
      <c r="K51" s="93"/>
      <c r="L51" s="93"/>
    </row>
    <row r="52" spans="2:17" x14ac:dyDescent="0.25">
      <c r="B52" s="6"/>
      <c r="C52" s="6">
        <v>37</v>
      </c>
      <c r="D52" s="7"/>
      <c r="E52" s="6">
        <v>37</v>
      </c>
      <c r="F52" s="6" t="s">
        <v>106</v>
      </c>
      <c r="G52" s="74"/>
      <c r="H52" s="73"/>
      <c r="I52" s="73"/>
      <c r="J52" s="74"/>
      <c r="K52" s="93" t="str">
        <f t="shared" si="27"/>
        <v/>
      </c>
      <c r="L52" s="93" t="str">
        <f t="shared" si="28"/>
        <v/>
      </c>
    </row>
    <row r="53" spans="2:17" x14ac:dyDescent="0.25">
      <c r="B53" s="6"/>
      <c r="C53" s="6">
        <v>38</v>
      </c>
      <c r="D53" s="7"/>
      <c r="E53" s="6">
        <v>38</v>
      </c>
      <c r="F53" s="6" t="s">
        <v>111</v>
      </c>
      <c r="G53" s="74"/>
      <c r="H53" s="73"/>
      <c r="I53" s="73"/>
      <c r="J53" s="74"/>
      <c r="K53" s="93" t="str">
        <f t="shared" si="27"/>
        <v/>
      </c>
      <c r="L53" s="93" t="str">
        <f t="shared" si="28"/>
        <v/>
      </c>
    </row>
    <row r="54" spans="2:17" x14ac:dyDescent="0.25">
      <c r="B54" s="75">
        <v>4</v>
      </c>
      <c r="C54" s="75"/>
      <c r="D54" s="75">
        <v>4</v>
      </c>
      <c r="E54" s="75"/>
      <c r="F54" s="76" t="s">
        <v>5</v>
      </c>
      <c r="G54" s="71">
        <f>SUM(G55:G56)</f>
        <v>8321.5300000000007</v>
      </c>
      <c r="H54" s="71">
        <f>SUM(H55:H56)</f>
        <v>157125.28</v>
      </c>
      <c r="I54" s="71">
        <f>SUM(I55:I56)</f>
        <v>157125.28</v>
      </c>
      <c r="J54" s="71">
        <f>SUM(J55:J56)</f>
        <v>162719.03</v>
      </c>
      <c r="K54" s="102">
        <f t="shared" si="27"/>
        <v>1955.3979857069553</v>
      </c>
      <c r="L54" s="93">
        <f t="shared" si="28"/>
        <v>103.5600572995001</v>
      </c>
    </row>
    <row r="55" spans="2:17" x14ac:dyDescent="0.25">
      <c r="B55" s="8"/>
      <c r="C55" s="8">
        <v>42</v>
      </c>
      <c r="D55" s="8"/>
      <c r="E55" s="8">
        <v>42</v>
      </c>
      <c r="F55" s="18" t="s">
        <v>66</v>
      </c>
      <c r="G55" s="74">
        <v>8321.5300000000007</v>
      </c>
      <c r="H55" s="73">
        <v>157125.28</v>
      </c>
      <c r="I55" s="73">
        <v>157125.28</v>
      </c>
      <c r="J55" s="74">
        <v>157125.28</v>
      </c>
      <c r="K55" s="93">
        <f t="shared" si="27"/>
        <v>1888.1777750005106</v>
      </c>
      <c r="L55" s="93">
        <f t="shared" si="28"/>
        <v>100</v>
      </c>
    </row>
    <row r="56" spans="2:17" x14ac:dyDescent="0.25">
      <c r="B56" s="127"/>
      <c r="C56" s="128">
        <v>45</v>
      </c>
      <c r="D56" s="127"/>
      <c r="E56" s="128">
        <v>45</v>
      </c>
      <c r="F56" s="18" t="s">
        <v>171</v>
      </c>
      <c r="G56" s="74"/>
      <c r="H56" s="73"/>
      <c r="I56" s="73"/>
      <c r="J56" s="74">
        <v>5593.75</v>
      </c>
      <c r="K56" s="93"/>
      <c r="L56" s="93"/>
    </row>
    <row r="57" spans="2:17" x14ac:dyDescent="0.25">
      <c r="B57" s="75">
        <v>5</v>
      </c>
      <c r="C57" s="75"/>
      <c r="D57" s="75">
        <v>5</v>
      </c>
      <c r="E57" s="75"/>
      <c r="F57" s="219" t="s">
        <v>243</v>
      </c>
      <c r="G57" s="220"/>
      <c r="H57" s="221">
        <f>SUM(H58)</f>
        <v>160116.41</v>
      </c>
      <c r="I57" s="221">
        <f>SUM(I58)</f>
        <v>160116.41</v>
      </c>
      <c r="J57" s="220"/>
      <c r="K57" s="93"/>
      <c r="L57" s="93"/>
    </row>
    <row r="58" spans="2:17" x14ac:dyDescent="0.25">
      <c r="B58" s="127"/>
      <c r="C58" s="128">
        <v>54</v>
      </c>
      <c r="D58" s="127"/>
      <c r="E58" s="128">
        <v>54</v>
      </c>
      <c r="F58" s="196" t="s">
        <v>234</v>
      </c>
      <c r="G58" s="74"/>
      <c r="H58" s="73">
        <v>160116.41</v>
      </c>
      <c r="I58" s="73">
        <v>160116.41</v>
      </c>
      <c r="J58" s="74"/>
      <c r="K58" s="93"/>
      <c r="L58" s="93"/>
    </row>
    <row r="59" spans="2:17" x14ac:dyDescent="0.25">
      <c r="B59" s="117"/>
      <c r="C59" s="117"/>
      <c r="D59" s="117"/>
      <c r="E59" s="117"/>
      <c r="F59" s="53" t="s">
        <v>220</v>
      </c>
      <c r="G59" s="169">
        <f>G60+G63</f>
        <v>647060.88</v>
      </c>
      <c r="H59" s="169">
        <f>H60+H63</f>
        <v>0</v>
      </c>
      <c r="I59" s="169">
        <f>I60+I63</f>
        <v>0</v>
      </c>
      <c r="J59" s="169">
        <f>J60+J63</f>
        <v>0</v>
      </c>
      <c r="K59" s="118"/>
      <c r="L59" s="118"/>
    </row>
    <row r="60" spans="2:17" x14ac:dyDescent="0.25">
      <c r="B60" s="70">
        <v>3</v>
      </c>
      <c r="C60" s="70"/>
      <c r="D60" s="70">
        <v>3</v>
      </c>
      <c r="E60" s="70"/>
      <c r="F60" s="70" t="s">
        <v>3</v>
      </c>
      <c r="G60" s="165">
        <f>SUM(G61:G62)</f>
        <v>29031.25</v>
      </c>
      <c r="H60" s="165">
        <f>SUM(H61:H62)</f>
        <v>0</v>
      </c>
      <c r="I60" s="165">
        <f>SUM(I61:I62)</f>
        <v>0</v>
      </c>
      <c r="J60" s="165">
        <f>SUM(J61:J62)</f>
        <v>0</v>
      </c>
      <c r="K60" s="93"/>
      <c r="L60" s="93"/>
      <c r="Q60" s="100"/>
    </row>
    <row r="61" spans="2:17" x14ac:dyDescent="0.25">
      <c r="B61" s="70"/>
      <c r="C61" s="8">
        <v>31</v>
      </c>
      <c r="D61" s="8"/>
      <c r="E61" s="8">
        <v>31</v>
      </c>
      <c r="F61" s="8" t="s">
        <v>4</v>
      </c>
      <c r="G61" s="74"/>
      <c r="H61" s="73"/>
      <c r="I61" s="73"/>
      <c r="J61" s="74"/>
      <c r="K61" s="93"/>
      <c r="L61" s="93"/>
    </row>
    <row r="62" spans="2:17" x14ac:dyDescent="0.25">
      <c r="B62" s="8"/>
      <c r="C62" s="8">
        <v>32</v>
      </c>
      <c r="D62" s="8"/>
      <c r="E62" s="6">
        <v>32</v>
      </c>
      <c r="F62" s="6" t="s">
        <v>9</v>
      </c>
      <c r="G62" s="74">
        <v>29031.25</v>
      </c>
      <c r="H62" s="73"/>
      <c r="I62" s="73"/>
      <c r="J62" s="74"/>
      <c r="K62" s="93"/>
      <c r="L62" s="93"/>
    </row>
    <row r="63" spans="2:17" x14ac:dyDescent="0.25">
      <c r="B63" s="75">
        <v>4</v>
      </c>
      <c r="C63" s="75"/>
      <c r="D63" s="75">
        <v>4</v>
      </c>
      <c r="E63" s="75"/>
      <c r="F63" s="76" t="s">
        <v>5</v>
      </c>
      <c r="G63" s="165">
        <f>SUM(G64:G65)</f>
        <v>618029.63</v>
      </c>
      <c r="H63" s="165">
        <f>SUM(H64:H65)</f>
        <v>0</v>
      </c>
      <c r="I63" s="165">
        <f>SUM(I64:I65)</f>
        <v>0</v>
      </c>
      <c r="J63" s="165">
        <f>SUM(J64:J65)</f>
        <v>0</v>
      </c>
      <c r="K63" s="93"/>
      <c r="L63" s="93"/>
      <c r="P63" s="100"/>
    </row>
    <row r="64" spans="2:17" x14ac:dyDescent="0.25">
      <c r="B64" s="128"/>
      <c r="C64" s="128">
        <v>41</v>
      </c>
      <c r="D64" s="128"/>
      <c r="E64" s="128">
        <v>41</v>
      </c>
      <c r="F64" s="18" t="s">
        <v>212</v>
      </c>
      <c r="G64" s="74"/>
      <c r="H64" s="73"/>
      <c r="I64" s="73"/>
      <c r="J64" s="74"/>
      <c r="K64" s="93"/>
      <c r="L64" s="93"/>
      <c r="P64" s="100"/>
    </row>
    <row r="65" spans="1:12" x14ac:dyDescent="0.25">
      <c r="B65" s="127"/>
      <c r="C65" s="128">
        <v>45</v>
      </c>
      <c r="D65" s="127"/>
      <c r="E65" s="128">
        <v>45</v>
      </c>
      <c r="F65" s="18" t="s">
        <v>171</v>
      </c>
      <c r="G65" s="74">
        <v>618029.63</v>
      </c>
      <c r="H65" s="73"/>
      <c r="I65" s="73"/>
      <c r="J65" s="74"/>
      <c r="K65" s="93"/>
      <c r="L65" s="93"/>
    </row>
    <row r="66" spans="1:12" x14ac:dyDescent="0.25">
      <c r="B66" s="53"/>
      <c r="C66" s="53"/>
      <c r="D66" s="53"/>
      <c r="E66" s="53"/>
      <c r="F66" s="53" t="s">
        <v>174</v>
      </c>
      <c r="G66" s="67"/>
      <c r="H66" s="67">
        <f>H67+H69</f>
        <v>0</v>
      </c>
      <c r="I66" s="67">
        <f>I67+I69</f>
        <v>0</v>
      </c>
      <c r="J66" s="67"/>
      <c r="K66" s="85" t="str">
        <f t="shared" ref="K66" si="31">IFERROR(J66/G66*100,"")</f>
        <v/>
      </c>
      <c r="L66" s="118" t="str">
        <f t="shared" si="28"/>
        <v/>
      </c>
    </row>
    <row r="67" spans="1:12" x14ac:dyDescent="0.25">
      <c r="B67" s="70">
        <v>3</v>
      </c>
      <c r="C67" s="70"/>
      <c r="D67" s="70">
        <v>3</v>
      </c>
      <c r="E67" s="70"/>
      <c r="F67" s="70" t="s">
        <v>3</v>
      </c>
      <c r="G67" s="165"/>
      <c r="H67" s="165">
        <f>H68</f>
        <v>0</v>
      </c>
      <c r="I67" s="165">
        <f>I68</f>
        <v>0</v>
      </c>
      <c r="J67" s="165"/>
      <c r="K67" s="93"/>
      <c r="L67" s="93" t="str">
        <f t="shared" si="28"/>
        <v/>
      </c>
    </row>
    <row r="68" spans="1:12" x14ac:dyDescent="0.25">
      <c r="B68" s="8"/>
      <c r="C68" s="6">
        <v>32</v>
      </c>
      <c r="D68" s="7"/>
      <c r="E68" s="6">
        <v>32</v>
      </c>
      <c r="F68" s="6" t="s">
        <v>9</v>
      </c>
      <c r="G68" s="74"/>
      <c r="H68" s="73"/>
      <c r="I68" s="73"/>
      <c r="J68" s="74"/>
      <c r="K68" s="93"/>
      <c r="L68" s="93" t="str">
        <f t="shared" si="28"/>
        <v/>
      </c>
    </row>
    <row r="69" spans="1:12" x14ac:dyDescent="0.25">
      <c r="B69" s="75">
        <v>4</v>
      </c>
      <c r="C69" s="75"/>
      <c r="D69" s="75">
        <v>4</v>
      </c>
      <c r="E69" s="75"/>
      <c r="F69" s="76" t="s">
        <v>5</v>
      </c>
      <c r="G69" s="71"/>
      <c r="H69" s="71">
        <f>SUM(H70)</f>
        <v>0</v>
      </c>
      <c r="I69" s="71">
        <f>SUM(I70)</f>
        <v>0</v>
      </c>
      <c r="J69" s="71"/>
      <c r="K69" s="93"/>
      <c r="L69" s="93" t="str">
        <f t="shared" si="28"/>
        <v/>
      </c>
    </row>
    <row r="70" spans="1:12" x14ac:dyDescent="0.25">
      <c r="B70" s="8"/>
      <c r="C70" s="8">
        <v>42</v>
      </c>
      <c r="D70" s="8"/>
      <c r="E70" s="8">
        <v>42</v>
      </c>
      <c r="F70" s="18" t="s">
        <v>66</v>
      </c>
      <c r="G70" s="74"/>
      <c r="H70" s="73"/>
      <c r="I70" s="73"/>
      <c r="J70" s="74"/>
      <c r="K70" s="93"/>
      <c r="L70" s="93" t="str">
        <f t="shared" si="28"/>
        <v/>
      </c>
    </row>
    <row r="71" spans="1:12" x14ac:dyDescent="0.25">
      <c r="B71" s="53"/>
      <c r="C71" s="53"/>
      <c r="D71" s="53"/>
      <c r="E71" s="53"/>
      <c r="F71" s="53" t="s">
        <v>80</v>
      </c>
      <c r="G71" s="67">
        <f>G72+G76</f>
        <v>26667.61</v>
      </c>
      <c r="H71" s="67">
        <f>H72+H76</f>
        <v>50000.119999999995</v>
      </c>
      <c r="I71" s="67">
        <f>I72+I76</f>
        <v>50000.119999999995</v>
      </c>
      <c r="J71" s="67">
        <f>J72+J76</f>
        <v>20627.91</v>
      </c>
      <c r="K71" s="85">
        <f t="shared" si="27"/>
        <v>77.351926175611538</v>
      </c>
      <c r="L71" s="118">
        <f t="shared" si="28"/>
        <v>41.255720986269637</v>
      </c>
    </row>
    <row r="72" spans="1:12" x14ac:dyDescent="0.25">
      <c r="A72" s="94"/>
      <c r="B72" s="70">
        <v>3</v>
      </c>
      <c r="C72" s="70"/>
      <c r="D72" s="70">
        <v>3</v>
      </c>
      <c r="E72" s="70"/>
      <c r="F72" s="70" t="s">
        <v>3</v>
      </c>
      <c r="G72" s="71">
        <f>SUM(G73:G75)</f>
        <v>26667.61</v>
      </c>
      <c r="H72" s="71">
        <f>SUM(H73:H75)</f>
        <v>50000.119999999995</v>
      </c>
      <c r="I72" s="71">
        <f>SUM(I73:I75)</f>
        <v>50000.119999999995</v>
      </c>
      <c r="J72" s="71">
        <f>SUM(J73:J75)</f>
        <v>20627.91</v>
      </c>
      <c r="K72" s="102">
        <f t="shared" si="27"/>
        <v>77.351926175611538</v>
      </c>
      <c r="L72" s="93">
        <f t="shared" si="28"/>
        <v>41.255720986269637</v>
      </c>
    </row>
    <row r="73" spans="1:12" x14ac:dyDescent="0.25">
      <c r="A73" s="94"/>
      <c r="B73" s="5"/>
      <c r="C73" s="8">
        <v>31</v>
      </c>
      <c r="D73" s="5"/>
      <c r="E73" s="8">
        <v>31</v>
      </c>
      <c r="F73" s="8" t="s">
        <v>4</v>
      </c>
      <c r="G73" s="63">
        <v>14543</v>
      </c>
      <c r="H73" s="32">
        <v>33500</v>
      </c>
      <c r="I73" s="32">
        <v>33500</v>
      </c>
      <c r="J73" s="63">
        <v>20627.91</v>
      </c>
      <c r="K73" s="123"/>
      <c r="L73" s="93">
        <f t="shared" si="28"/>
        <v>61.575850746268657</v>
      </c>
    </row>
    <row r="74" spans="1:12" x14ac:dyDescent="0.25">
      <c r="A74" s="94"/>
      <c r="B74" s="5"/>
      <c r="C74" s="8">
        <v>32</v>
      </c>
      <c r="D74" s="5"/>
      <c r="E74" s="8">
        <v>32</v>
      </c>
      <c r="F74" s="8" t="s">
        <v>9</v>
      </c>
      <c r="G74" s="63"/>
      <c r="H74" s="32">
        <v>16500.12</v>
      </c>
      <c r="I74" s="32">
        <v>16500.12</v>
      </c>
      <c r="J74" s="63"/>
      <c r="K74" s="123"/>
      <c r="L74" s="93">
        <f t="shared" si="28"/>
        <v>0</v>
      </c>
    </row>
    <row r="75" spans="1:12" x14ac:dyDescent="0.25">
      <c r="A75" s="94"/>
      <c r="B75" s="5"/>
      <c r="C75" s="8">
        <v>34</v>
      </c>
      <c r="D75" s="5"/>
      <c r="E75" s="8">
        <v>34</v>
      </c>
      <c r="F75" s="8" t="s">
        <v>79</v>
      </c>
      <c r="G75" s="63">
        <v>12124.61</v>
      </c>
      <c r="H75" s="32"/>
      <c r="I75" s="32"/>
      <c r="J75" s="63"/>
      <c r="K75" s="123"/>
      <c r="L75" s="93" t="str">
        <f t="shared" si="28"/>
        <v/>
      </c>
    </row>
    <row r="76" spans="1:12" x14ac:dyDescent="0.25">
      <c r="A76" s="94"/>
      <c r="B76" s="120">
        <v>4</v>
      </c>
      <c r="C76" s="109"/>
      <c r="D76" s="120">
        <v>4</v>
      </c>
      <c r="E76" s="109"/>
      <c r="F76" s="120" t="s">
        <v>5</v>
      </c>
      <c r="G76" s="125"/>
      <c r="H76" s="124"/>
      <c r="I76" s="124"/>
      <c r="J76" s="125"/>
      <c r="K76" s="126"/>
      <c r="L76" s="93" t="str">
        <f t="shared" si="28"/>
        <v/>
      </c>
    </row>
    <row r="77" spans="1:12" x14ac:dyDescent="0.25">
      <c r="A77" s="94"/>
      <c r="B77" s="6"/>
      <c r="C77" s="6">
        <v>42</v>
      </c>
      <c r="D77" s="7"/>
      <c r="E77" s="6">
        <v>42</v>
      </c>
      <c r="F77" s="6" t="s">
        <v>66</v>
      </c>
      <c r="G77" s="74"/>
      <c r="H77" s="73"/>
      <c r="I77" s="73"/>
      <c r="J77" s="74"/>
      <c r="K77" s="93" t="str">
        <f t="shared" si="27"/>
        <v/>
      </c>
      <c r="L77" s="93" t="str">
        <f t="shared" si="28"/>
        <v/>
      </c>
    </row>
    <row r="78" spans="1:12" x14ac:dyDescent="0.25">
      <c r="A78" s="94"/>
      <c r="B78" s="77"/>
      <c r="C78" s="54"/>
      <c r="D78" s="54"/>
      <c r="E78" s="54"/>
      <c r="F78" s="78" t="s">
        <v>81</v>
      </c>
      <c r="G78" s="101">
        <f>G79+G81</f>
        <v>5976.15</v>
      </c>
      <c r="H78" s="101">
        <f>H79+H81</f>
        <v>57107.07</v>
      </c>
      <c r="I78" s="101">
        <f>I79+I81</f>
        <v>57107.07</v>
      </c>
      <c r="J78" s="101">
        <f>J79+J81</f>
        <v>1661.87</v>
      </c>
      <c r="K78" s="103">
        <f t="shared" si="27"/>
        <v>27.808371610485011</v>
      </c>
      <c r="L78" s="118">
        <f t="shared" si="28"/>
        <v>2.9100950197584989</v>
      </c>
    </row>
    <row r="79" spans="1:12" x14ac:dyDescent="0.25">
      <c r="A79" s="94"/>
      <c r="B79" s="70">
        <v>3</v>
      </c>
      <c r="C79" s="70"/>
      <c r="D79" s="70">
        <v>3</v>
      </c>
      <c r="E79" s="70"/>
      <c r="F79" s="70" t="s">
        <v>3</v>
      </c>
      <c r="G79" s="71">
        <f>G80</f>
        <v>5976.15</v>
      </c>
      <c r="H79" s="71">
        <f>H80</f>
        <v>57107.07</v>
      </c>
      <c r="I79" s="71">
        <f>I80</f>
        <v>57107.07</v>
      </c>
      <c r="J79" s="71">
        <f>J80</f>
        <v>1661.87</v>
      </c>
      <c r="K79" s="102">
        <f t="shared" si="27"/>
        <v>27.808371610485011</v>
      </c>
      <c r="L79" s="93">
        <f t="shared" si="28"/>
        <v>2.9100950197584989</v>
      </c>
    </row>
    <row r="80" spans="1:12" x14ac:dyDescent="0.25">
      <c r="A80" s="94"/>
      <c r="B80" s="6"/>
      <c r="C80" s="6">
        <v>32</v>
      </c>
      <c r="D80" s="7"/>
      <c r="E80" s="6">
        <v>32</v>
      </c>
      <c r="F80" s="6" t="s">
        <v>9</v>
      </c>
      <c r="G80" s="74">
        <v>5976.15</v>
      </c>
      <c r="H80" s="73">
        <v>57107.07</v>
      </c>
      <c r="I80" s="73">
        <v>57107.07</v>
      </c>
      <c r="J80" s="74">
        <v>1661.87</v>
      </c>
      <c r="K80" s="93">
        <f t="shared" si="27"/>
        <v>27.808371610485011</v>
      </c>
      <c r="L80" s="93">
        <f t="shared" si="28"/>
        <v>2.9100950197584989</v>
      </c>
    </row>
    <row r="81" spans="1:16" x14ac:dyDescent="0.25">
      <c r="A81" s="94"/>
      <c r="B81" s="120">
        <v>4</v>
      </c>
      <c r="C81" s="109"/>
      <c r="D81" s="120">
        <v>4</v>
      </c>
      <c r="E81" s="109"/>
      <c r="F81" s="120" t="s">
        <v>5</v>
      </c>
      <c r="G81" s="165"/>
      <c r="H81" s="165">
        <f>SUM(H82)</f>
        <v>0</v>
      </c>
      <c r="I81" s="165">
        <f>SUM(I82)</f>
        <v>0</v>
      </c>
      <c r="J81" s="165"/>
      <c r="K81" s="93"/>
      <c r="L81" s="93" t="str">
        <f t="shared" si="28"/>
        <v/>
      </c>
    </row>
    <row r="82" spans="1:16" x14ac:dyDescent="0.25">
      <c r="A82" s="94"/>
      <c r="B82" s="6"/>
      <c r="C82" s="6">
        <v>42</v>
      </c>
      <c r="D82" s="7"/>
      <c r="E82" s="6">
        <v>42</v>
      </c>
      <c r="F82" s="6" t="s">
        <v>66</v>
      </c>
      <c r="G82" s="74"/>
      <c r="H82" s="73"/>
      <c r="I82" s="73"/>
      <c r="J82" s="74"/>
      <c r="K82" s="93"/>
      <c r="L82" s="93" t="str">
        <f t="shared" si="28"/>
        <v/>
      </c>
    </row>
    <row r="83" spans="1:16" ht="25.5" x14ac:dyDescent="0.25">
      <c r="B83" s="53"/>
      <c r="C83" s="53"/>
      <c r="D83" s="53"/>
      <c r="E83" s="53"/>
      <c r="F83" s="79" t="s">
        <v>82</v>
      </c>
      <c r="G83" s="67">
        <f>G84+G88</f>
        <v>141245.19</v>
      </c>
      <c r="H83" s="67">
        <f>H84+H88</f>
        <v>427670.81</v>
      </c>
      <c r="I83" s="67">
        <f>I84+I88</f>
        <v>427670.81</v>
      </c>
      <c r="J83" s="67">
        <f>J84+J88</f>
        <v>287422.49</v>
      </c>
      <c r="K83" s="85">
        <f t="shared" si="27"/>
        <v>203.49187820130368</v>
      </c>
      <c r="L83" s="118">
        <f t="shared" si="28"/>
        <v>67.206478272388992</v>
      </c>
    </row>
    <row r="84" spans="1:16" x14ac:dyDescent="0.25">
      <c r="B84" s="5">
        <v>3</v>
      </c>
      <c r="C84" s="5"/>
      <c r="D84" s="5">
        <v>3</v>
      </c>
      <c r="E84" s="5"/>
      <c r="F84" s="5" t="s">
        <v>3</v>
      </c>
      <c r="G84" s="99">
        <f t="shared" ref="G84" si="32">SUM(G86:G87)</f>
        <v>141245.19</v>
      </c>
      <c r="H84" s="99">
        <f t="shared" ref="H84:I84" si="33">SUM(H86:H87)</f>
        <v>279392.24</v>
      </c>
      <c r="I84" s="99">
        <f t="shared" si="33"/>
        <v>279392.24</v>
      </c>
      <c r="J84" s="99">
        <f t="shared" ref="J84" si="34">SUM(J86:J87)</f>
        <v>139143.91999999998</v>
      </c>
      <c r="K84" s="123">
        <f t="shared" si="27"/>
        <v>98.512324561282398</v>
      </c>
      <c r="L84" s="93">
        <f t="shared" si="28"/>
        <v>49.802356715419151</v>
      </c>
    </row>
    <row r="85" spans="1:16" x14ac:dyDescent="0.25">
      <c r="B85" s="5"/>
      <c r="C85" s="5"/>
      <c r="D85" s="5"/>
      <c r="E85" s="201">
        <v>31</v>
      </c>
      <c r="F85" s="201" t="s">
        <v>4</v>
      </c>
      <c r="G85" s="99"/>
      <c r="H85" s="99"/>
      <c r="I85" s="99"/>
      <c r="J85" s="99"/>
      <c r="K85" s="123"/>
      <c r="L85" s="93"/>
    </row>
    <row r="86" spans="1:16" x14ac:dyDescent="0.25">
      <c r="B86" s="6"/>
      <c r="C86" s="6">
        <v>32</v>
      </c>
      <c r="D86" s="7"/>
      <c r="E86" s="6">
        <v>32</v>
      </c>
      <c r="F86" s="6" t="s">
        <v>9</v>
      </c>
      <c r="G86" s="74">
        <v>140655.29</v>
      </c>
      <c r="H86" s="73">
        <f>14528.14+262464.1+1100</f>
        <v>278092.24</v>
      </c>
      <c r="I86" s="73">
        <f>14528.14+262464.1+1100</f>
        <v>278092.24</v>
      </c>
      <c r="J86" s="74">
        <v>138424.35999999999</v>
      </c>
      <c r="K86" s="93">
        <f t="shared" si="27"/>
        <v>98.41390252723518</v>
      </c>
      <c r="L86" s="93">
        <f t="shared" si="28"/>
        <v>49.776419507426738</v>
      </c>
    </row>
    <row r="87" spans="1:16" x14ac:dyDescent="0.25">
      <c r="B87" s="6"/>
      <c r="C87" s="6">
        <v>34</v>
      </c>
      <c r="D87" s="7"/>
      <c r="E87" s="6">
        <v>34</v>
      </c>
      <c r="F87" s="6" t="s">
        <v>79</v>
      </c>
      <c r="G87" s="74">
        <v>589.9</v>
      </c>
      <c r="H87" s="73">
        <v>1300</v>
      </c>
      <c r="I87" s="73">
        <v>1300</v>
      </c>
      <c r="J87" s="74">
        <v>719.56</v>
      </c>
      <c r="K87" s="93">
        <f t="shared" si="27"/>
        <v>121.97999660959485</v>
      </c>
      <c r="L87" s="93">
        <f t="shared" si="28"/>
        <v>55.350769230769224</v>
      </c>
    </row>
    <row r="88" spans="1:16" x14ac:dyDescent="0.25">
      <c r="B88" s="107">
        <v>4</v>
      </c>
      <c r="C88" s="106"/>
      <c r="D88" s="107">
        <v>4</v>
      </c>
      <c r="E88" s="106"/>
      <c r="F88" s="107" t="s">
        <v>5</v>
      </c>
      <c r="G88" s="121">
        <f>SUM(G89:G90)</f>
        <v>0</v>
      </c>
      <c r="H88" s="121">
        <f>SUM(H89:H90)</f>
        <v>148278.57</v>
      </c>
      <c r="I88" s="121">
        <f>SUM(I89:I90)</f>
        <v>148278.57</v>
      </c>
      <c r="J88" s="121">
        <f>SUM(J89:J90)</f>
        <v>148278.57</v>
      </c>
      <c r="K88" s="122"/>
      <c r="L88" s="93">
        <f t="shared" si="28"/>
        <v>100</v>
      </c>
    </row>
    <row r="89" spans="1:16" x14ac:dyDescent="0.25">
      <c r="B89" s="6"/>
      <c r="C89" s="6">
        <v>42</v>
      </c>
      <c r="D89" s="7"/>
      <c r="E89" s="6">
        <v>42</v>
      </c>
      <c r="F89" s="6" t="s">
        <v>66</v>
      </c>
      <c r="G89" s="74"/>
      <c r="H89" s="73"/>
      <c r="I89" s="73"/>
      <c r="J89" s="74"/>
      <c r="K89" s="93"/>
      <c r="L89" s="93" t="str">
        <f t="shared" si="28"/>
        <v/>
      </c>
    </row>
    <row r="90" spans="1:16" x14ac:dyDescent="0.25">
      <c r="B90" s="6"/>
      <c r="C90" s="128">
        <v>45</v>
      </c>
      <c r="D90" s="127"/>
      <c r="E90" s="128">
        <v>45</v>
      </c>
      <c r="F90" s="18" t="s">
        <v>171</v>
      </c>
      <c r="G90" s="74"/>
      <c r="H90" s="73">
        <v>148278.57</v>
      </c>
      <c r="I90" s="73">
        <v>148278.57</v>
      </c>
      <c r="J90" s="74">
        <v>148278.57</v>
      </c>
      <c r="K90" s="93"/>
      <c r="L90" s="93"/>
    </row>
    <row r="91" spans="1:16" ht="25.5" x14ac:dyDescent="0.25">
      <c r="B91" s="203"/>
      <c r="C91" s="129"/>
      <c r="D91" s="129"/>
      <c r="E91" s="129"/>
      <c r="F91" s="79" t="s">
        <v>221</v>
      </c>
      <c r="G91" s="133"/>
      <c r="H91" s="119">
        <f>SUM(H92)</f>
        <v>0</v>
      </c>
      <c r="I91" s="119">
        <f>SUM(I92)</f>
        <v>0</v>
      </c>
      <c r="J91" s="133"/>
      <c r="K91" s="202"/>
      <c r="L91" s="202"/>
    </row>
    <row r="92" spans="1:16" x14ac:dyDescent="0.25">
      <c r="B92" s="107">
        <v>4</v>
      </c>
      <c r="C92" s="106"/>
      <c r="D92" s="107">
        <v>4</v>
      </c>
      <c r="E92" s="106"/>
      <c r="F92" s="107" t="s">
        <v>5</v>
      </c>
      <c r="G92" s="74"/>
      <c r="H92" s="73"/>
      <c r="I92" s="73"/>
      <c r="J92" s="74"/>
      <c r="K92" s="93"/>
      <c r="L92" s="93"/>
    </row>
    <row r="93" spans="1:16" x14ac:dyDescent="0.25">
      <c r="B93" s="6"/>
      <c r="C93" s="128">
        <v>45</v>
      </c>
      <c r="D93" s="127"/>
      <c r="E93" s="128">
        <v>45</v>
      </c>
      <c r="F93" s="18" t="s">
        <v>171</v>
      </c>
      <c r="G93" s="74"/>
      <c r="H93" s="73"/>
      <c r="I93" s="73"/>
      <c r="J93" s="74"/>
      <c r="K93" s="93"/>
      <c r="L93" s="93"/>
    </row>
    <row r="94" spans="1:16" x14ac:dyDescent="0.25">
      <c r="B94" s="53"/>
      <c r="C94" s="53"/>
      <c r="D94" s="53"/>
      <c r="E94" s="53"/>
      <c r="F94" s="79" t="s">
        <v>83</v>
      </c>
      <c r="G94" s="67"/>
      <c r="H94" s="67">
        <f>H95</f>
        <v>10000</v>
      </c>
      <c r="I94" s="67">
        <f>I95</f>
        <v>10000</v>
      </c>
      <c r="J94" s="67">
        <f>J95</f>
        <v>1009.43</v>
      </c>
      <c r="K94" s="85" t="str">
        <f t="shared" si="27"/>
        <v/>
      </c>
      <c r="L94" s="118">
        <f t="shared" si="28"/>
        <v>10.094299999999999</v>
      </c>
      <c r="P94" s="100"/>
    </row>
    <row r="95" spans="1:16" x14ac:dyDescent="0.25">
      <c r="B95" s="70">
        <v>3</v>
      </c>
      <c r="C95" s="70"/>
      <c r="D95" s="70">
        <v>3</v>
      </c>
      <c r="E95" s="70"/>
      <c r="F95" s="70" t="s">
        <v>3</v>
      </c>
      <c r="G95" s="71"/>
      <c r="H95" s="71">
        <f>SUM(H96:H97)</f>
        <v>10000</v>
      </c>
      <c r="I95" s="71">
        <f>SUM(I96:I97)</f>
        <v>10000</v>
      </c>
      <c r="J95" s="71">
        <f>SUM(J96:J97)</f>
        <v>1009.43</v>
      </c>
      <c r="K95" s="102" t="str">
        <f>IFERROR(J95/G95*100,"")</f>
        <v/>
      </c>
      <c r="L95" s="93">
        <f>IFERROR(J95/H95*100,"")</f>
        <v>10.094299999999999</v>
      </c>
      <c r="P95" s="100"/>
    </row>
    <row r="96" spans="1:16" x14ac:dyDescent="0.25">
      <c r="B96" s="6"/>
      <c r="C96" s="6">
        <v>31</v>
      </c>
      <c r="D96" s="7"/>
      <c r="E96" s="6">
        <v>31</v>
      </c>
      <c r="F96" s="6" t="s">
        <v>4</v>
      </c>
      <c r="G96" s="74"/>
      <c r="H96" s="73"/>
      <c r="I96" s="73"/>
      <c r="J96" s="74"/>
      <c r="K96" s="93" t="str">
        <f t="shared" si="27"/>
        <v/>
      </c>
      <c r="L96" s="93" t="str">
        <f t="shared" si="28"/>
        <v/>
      </c>
    </row>
    <row r="97" spans="2:12" x14ac:dyDescent="0.25">
      <c r="B97" s="6"/>
      <c r="C97" s="6">
        <v>32</v>
      </c>
      <c r="D97" s="7"/>
      <c r="E97" s="6">
        <v>32</v>
      </c>
      <c r="F97" s="6" t="s">
        <v>9</v>
      </c>
      <c r="G97" s="74"/>
      <c r="H97" s="73">
        <v>10000</v>
      </c>
      <c r="I97" s="73">
        <v>10000</v>
      </c>
      <c r="J97" s="74">
        <v>1009.43</v>
      </c>
      <c r="K97" s="93" t="str">
        <f t="shared" si="27"/>
        <v/>
      </c>
      <c r="L97" s="93">
        <f t="shared" si="28"/>
        <v>10.094299999999999</v>
      </c>
    </row>
    <row r="98" spans="2:12" ht="25.5" x14ac:dyDescent="0.25">
      <c r="B98" s="53"/>
      <c r="C98" s="53"/>
      <c r="D98" s="53"/>
      <c r="E98" s="53"/>
      <c r="F98" s="79" t="s">
        <v>224</v>
      </c>
      <c r="G98" s="119">
        <f>SUM(G100)</f>
        <v>6479.72</v>
      </c>
      <c r="H98" s="119">
        <f>SUM(H100)</f>
        <v>14585</v>
      </c>
      <c r="I98" s="119">
        <f>SUM(I100)</f>
        <v>14585</v>
      </c>
      <c r="J98" s="119">
        <f>SUM(J100)</f>
        <v>11897.32</v>
      </c>
      <c r="K98" s="202"/>
      <c r="L98" s="202"/>
    </row>
    <row r="99" spans="2:12" x14ac:dyDescent="0.25">
      <c r="B99" s="70">
        <v>3</v>
      </c>
      <c r="C99" s="70"/>
      <c r="D99" s="70">
        <v>3</v>
      </c>
      <c r="E99" s="70"/>
      <c r="F99" s="70" t="s">
        <v>3</v>
      </c>
      <c r="G99" s="74"/>
      <c r="H99" s="73"/>
      <c r="I99" s="73"/>
      <c r="J99" s="74"/>
      <c r="K99" s="93"/>
      <c r="L99" s="93"/>
    </row>
    <row r="100" spans="2:12" x14ac:dyDescent="0.25">
      <c r="B100" s="6"/>
      <c r="C100" s="6">
        <v>32</v>
      </c>
      <c r="D100" s="7"/>
      <c r="E100" s="6">
        <v>32</v>
      </c>
      <c r="F100" s="6" t="s">
        <v>9</v>
      </c>
      <c r="G100" s="74">
        <v>6479.72</v>
      </c>
      <c r="H100" s="73">
        <v>14585</v>
      </c>
      <c r="I100" s="73">
        <v>14585</v>
      </c>
      <c r="J100" s="74">
        <v>11897.32</v>
      </c>
      <c r="K100" s="93"/>
      <c r="L100" s="93"/>
    </row>
    <row r="101" spans="2:12" x14ac:dyDescent="0.25">
      <c r="B101" s="53"/>
      <c r="C101" s="53"/>
      <c r="D101" s="53"/>
      <c r="E101" s="53"/>
      <c r="F101" s="79" t="s">
        <v>223</v>
      </c>
      <c r="G101" s="169">
        <f>SUM(G102)</f>
        <v>0</v>
      </c>
      <c r="H101" s="169">
        <f>SUM(H102)</f>
        <v>4951.17</v>
      </c>
      <c r="I101" s="169">
        <f>SUM(I102)</f>
        <v>4951.17</v>
      </c>
      <c r="J101" s="169">
        <f>SUM(J102)</f>
        <v>4748.4313694999992</v>
      </c>
      <c r="K101" s="118"/>
      <c r="L101" s="118"/>
    </row>
    <row r="102" spans="2:12" x14ac:dyDescent="0.25">
      <c r="B102" s="70">
        <v>3</v>
      </c>
      <c r="C102" s="70"/>
      <c r="D102" s="70">
        <v>3</v>
      </c>
      <c r="E102" s="70"/>
      <c r="F102" s="70" t="s">
        <v>3</v>
      </c>
      <c r="G102" s="74"/>
      <c r="H102" s="73">
        <f>SUM(H103:H104)</f>
        <v>4951.17</v>
      </c>
      <c r="I102" s="73">
        <f>SUM(I103:I104)</f>
        <v>4951.17</v>
      </c>
      <c r="J102" s="73">
        <f>SUM(J103:J104)</f>
        <v>4748.4313694999992</v>
      </c>
      <c r="K102" s="93"/>
      <c r="L102" s="93"/>
    </row>
    <row r="103" spans="2:12" x14ac:dyDescent="0.25">
      <c r="B103" s="6"/>
      <c r="C103" s="6">
        <v>31</v>
      </c>
      <c r="D103" s="7"/>
      <c r="E103" s="6">
        <v>31</v>
      </c>
      <c r="F103" s="6" t="s">
        <v>4</v>
      </c>
      <c r="G103" s="74"/>
      <c r="H103" s="73">
        <f>4763.42</f>
        <v>4763.42</v>
      </c>
      <c r="I103" s="73">
        <f>4763.42</f>
        <v>4763.42</v>
      </c>
      <c r="J103" s="74">
        <f>56998.61*53.95%*15%</f>
        <v>4612.6125142499995</v>
      </c>
      <c r="K103" s="93"/>
      <c r="L103" s="93"/>
    </row>
    <row r="104" spans="2:12" x14ac:dyDescent="0.25">
      <c r="B104" s="6"/>
      <c r="C104" s="6">
        <v>32</v>
      </c>
      <c r="D104" s="7"/>
      <c r="E104" s="6">
        <v>32</v>
      </c>
      <c r="F104" s="6" t="s">
        <v>9</v>
      </c>
      <c r="G104" s="74"/>
      <c r="H104" s="73">
        <f>187.75</f>
        <v>187.75</v>
      </c>
      <c r="I104" s="73">
        <f>187.75</f>
        <v>187.75</v>
      </c>
      <c r="J104" s="74">
        <f>1678.33*53.95%*15%</f>
        <v>135.81885524999998</v>
      </c>
      <c r="K104" s="93"/>
      <c r="L104" s="93"/>
    </row>
    <row r="105" spans="2:12" x14ac:dyDescent="0.25">
      <c r="B105" s="53"/>
      <c r="C105" s="53"/>
      <c r="D105" s="53"/>
      <c r="E105" s="53"/>
      <c r="F105" s="79" t="s">
        <v>244</v>
      </c>
      <c r="G105" s="169">
        <f>SUM(G106)</f>
        <v>0</v>
      </c>
      <c r="H105" s="169">
        <f>SUM(H106)</f>
        <v>3119.1</v>
      </c>
      <c r="I105" s="169">
        <f>SUM(I106)</f>
        <v>3119.1</v>
      </c>
      <c r="J105" s="169">
        <f>SUM(J106)</f>
        <v>0</v>
      </c>
      <c r="K105" s="118"/>
      <c r="L105" s="118"/>
    </row>
    <row r="106" spans="2:12" x14ac:dyDescent="0.25">
      <c r="B106" s="70">
        <v>3</v>
      </c>
      <c r="C106" s="70"/>
      <c r="D106" s="70">
        <v>3</v>
      </c>
      <c r="E106" s="70"/>
      <c r="F106" s="70" t="s">
        <v>3</v>
      </c>
      <c r="G106" s="74"/>
      <c r="H106" s="73">
        <f>SUM(H107:H108)</f>
        <v>3119.1</v>
      </c>
      <c r="I106" s="73">
        <f>SUM(I107:I108)</f>
        <v>3119.1</v>
      </c>
      <c r="J106" s="74"/>
      <c r="K106" s="93"/>
      <c r="L106" s="93"/>
    </row>
    <row r="107" spans="2:12" x14ac:dyDescent="0.25">
      <c r="B107" s="6"/>
      <c r="C107" s="6">
        <v>31</v>
      </c>
      <c r="D107" s="7"/>
      <c r="E107" s="6">
        <v>31</v>
      </c>
      <c r="F107" s="6" t="s">
        <v>4</v>
      </c>
      <c r="G107" s="74"/>
      <c r="H107" s="73">
        <v>3096.44</v>
      </c>
      <c r="I107" s="73">
        <v>3096.44</v>
      </c>
      <c r="J107" s="74"/>
      <c r="K107" s="93"/>
      <c r="L107" s="93"/>
    </row>
    <row r="108" spans="2:12" x14ac:dyDescent="0.25">
      <c r="B108" s="6"/>
      <c r="C108" s="6">
        <v>32</v>
      </c>
      <c r="D108" s="7"/>
      <c r="E108" s="6">
        <v>32</v>
      </c>
      <c r="F108" s="6" t="s">
        <v>9</v>
      </c>
      <c r="G108" s="74"/>
      <c r="H108" s="73">
        <v>22.66</v>
      </c>
      <c r="I108" s="73">
        <v>22.66</v>
      </c>
      <c r="J108" s="74"/>
      <c r="K108" s="93"/>
      <c r="L108" s="93"/>
    </row>
    <row r="109" spans="2:12" x14ac:dyDescent="0.25">
      <c r="B109" s="53"/>
      <c r="C109" s="53"/>
      <c r="D109" s="53"/>
      <c r="E109" s="53"/>
      <c r="F109" s="79" t="s">
        <v>173</v>
      </c>
      <c r="G109" s="67">
        <f>G110</f>
        <v>20995.9</v>
      </c>
      <c r="H109" s="67">
        <f>H110</f>
        <v>27671.33</v>
      </c>
      <c r="I109" s="67">
        <f>I110</f>
        <v>27671.33</v>
      </c>
      <c r="J109" s="67">
        <f>J110</f>
        <v>26907.777760499997</v>
      </c>
      <c r="K109" s="85">
        <f t="shared" ref="K109" si="35">IFERROR(J109/G109*100,"")</f>
        <v>128.15729623640803</v>
      </c>
      <c r="L109" s="118">
        <f t="shared" si="28"/>
        <v>97.240637730459639</v>
      </c>
    </row>
    <row r="110" spans="2:12" x14ac:dyDescent="0.25">
      <c r="B110" s="70">
        <v>3</v>
      </c>
      <c r="C110" s="70"/>
      <c r="D110" s="70">
        <v>3</v>
      </c>
      <c r="E110" s="70"/>
      <c r="F110" s="70" t="s">
        <v>3</v>
      </c>
      <c r="G110" s="165">
        <f>SUM(G111:G112)</f>
        <v>20995.9</v>
      </c>
      <c r="H110" s="165">
        <f>SUM(H111:H112)</f>
        <v>27671.33</v>
      </c>
      <c r="I110" s="165">
        <f>SUM(I111:I112)</f>
        <v>27671.33</v>
      </c>
      <c r="J110" s="165">
        <f>SUM(J111:J112)</f>
        <v>26907.777760499997</v>
      </c>
      <c r="K110" s="93"/>
      <c r="L110" s="93">
        <f t="shared" si="28"/>
        <v>97.240637730459639</v>
      </c>
    </row>
    <row r="111" spans="2:12" x14ac:dyDescent="0.25">
      <c r="B111" s="6"/>
      <c r="C111" s="6">
        <v>31</v>
      </c>
      <c r="D111" s="7"/>
      <c r="E111" s="6">
        <v>31</v>
      </c>
      <c r="F111" s="6" t="s">
        <v>4</v>
      </c>
      <c r="G111" s="73">
        <v>20995.9</v>
      </c>
      <c r="H111" s="73">
        <f>26992.63</f>
        <v>26992.63</v>
      </c>
      <c r="I111" s="73">
        <f>26992.63</f>
        <v>26992.63</v>
      </c>
      <c r="J111" s="73">
        <f>56998.61*53.95%*85%</f>
        <v>26138.137580749997</v>
      </c>
      <c r="K111" s="93"/>
      <c r="L111" s="93">
        <f t="shared" si="28"/>
        <v>96.83434915660311</v>
      </c>
    </row>
    <row r="112" spans="2:12" x14ac:dyDescent="0.25">
      <c r="B112" s="6"/>
      <c r="C112" s="6">
        <v>32</v>
      </c>
      <c r="D112" s="7"/>
      <c r="E112" s="6">
        <v>32</v>
      </c>
      <c r="F112" s="6" t="s">
        <v>9</v>
      </c>
      <c r="G112" s="73"/>
      <c r="H112" s="73">
        <f>678.7</f>
        <v>678.7</v>
      </c>
      <c r="I112" s="73">
        <f>678.7</f>
        <v>678.7</v>
      </c>
      <c r="J112" s="73">
        <f>1678.33*53.95%*85%</f>
        <v>769.6401797499999</v>
      </c>
      <c r="K112" s="93"/>
      <c r="L112" s="93">
        <f t="shared" si="28"/>
        <v>113.3991719095329</v>
      </c>
    </row>
    <row r="113" spans="2:16" x14ac:dyDescent="0.25">
      <c r="B113" s="53"/>
      <c r="C113" s="53"/>
      <c r="D113" s="53"/>
      <c r="E113" s="53"/>
      <c r="F113" s="79" t="s">
        <v>222</v>
      </c>
      <c r="G113" s="169">
        <f>SUM(G114)</f>
        <v>0</v>
      </c>
      <c r="H113" s="169">
        <f>SUM(H114)</f>
        <v>18060.199999999997</v>
      </c>
      <c r="I113" s="169">
        <f>SUM(I114)</f>
        <v>18060.199999999997</v>
      </c>
      <c r="J113" s="169">
        <f>SUM(J114)</f>
        <v>0</v>
      </c>
      <c r="K113" s="118"/>
      <c r="L113" s="118"/>
    </row>
    <row r="114" spans="2:16" x14ac:dyDescent="0.25">
      <c r="B114" s="70">
        <v>3</v>
      </c>
      <c r="C114" s="70"/>
      <c r="D114" s="70">
        <v>3</v>
      </c>
      <c r="E114" s="70"/>
      <c r="F114" s="70" t="s">
        <v>3</v>
      </c>
      <c r="G114" s="73"/>
      <c r="H114" s="73">
        <f>SUM(H115:H116)</f>
        <v>18060.199999999997</v>
      </c>
      <c r="I114" s="73">
        <f>SUM(I115:I116)</f>
        <v>18060.199999999997</v>
      </c>
      <c r="J114" s="73"/>
      <c r="K114" s="93"/>
      <c r="L114" s="93"/>
    </row>
    <row r="115" spans="2:16" x14ac:dyDescent="0.25">
      <c r="B115" s="6"/>
      <c r="C115" s="6">
        <v>31</v>
      </c>
      <c r="D115" s="7"/>
      <c r="E115" s="6">
        <v>31</v>
      </c>
      <c r="F115" s="6" t="s">
        <v>4</v>
      </c>
      <c r="G115" s="73"/>
      <c r="H115" s="73">
        <v>17546.599999999999</v>
      </c>
      <c r="I115" s="73">
        <v>17546.599999999999</v>
      </c>
      <c r="J115" s="73"/>
      <c r="K115" s="93"/>
      <c r="L115" s="93"/>
    </row>
    <row r="116" spans="2:16" x14ac:dyDescent="0.25">
      <c r="B116" s="6"/>
      <c r="C116" s="6">
        <v>32</v>
      </c>
      <c r="D116" s="7"/>
      <c r="E116" s="6">
        <v>32</v>
      </c>
      <c r="F116" s="6" t="s">
        <v>9</v>
      </c>
      <c r="G116" s="73"/>
      <c r="H116" s="73">
        <v>513.6</v>
      </c>
      <c r="I116" s="73">
        <v>513.6</v>
      </c>
      <c r="J116" s="73"/>
      <c r="K116" s="93"/>
      <c r="L116" s="93"/>
    </row>
    <row r="117" spans="2:16" x14ac:dyDescent="0.25">
      <c r="B117" s="53"/>
      <c r="C117" s="53"/>
      <c r="D117" s="53"/>
      <c r="E117" s="53"/>
      <c r="F117" s="53" t="s">
        <v>84</v>
      </c>
      <c r="G117" s="55">
        <f>SUM(G118)</f>
        <v>1370686.37</v>
      </c>
      <c r="H117" s="55">
        <f t="shared" ref="H117" si="36">H118+H126</f>
        <v>4255470.6900000004</v>
      </c>
      <c r="I117" s="55">
        <f t="shared" ref="I117:J117" si="37">I118+I126</f>
        <v>4255470.6900000004</v>
      </c>
      <c r="J117" s="55">
        <f t="shared" si="37"/>
        <v>2643989.7399999998</v>
      </c>
      <c r="K117" s="85">
        <f t="shared" si="27"/>
        <v>192.89531127386928</v>
      </c>
      <c r="L117" s="118">
        <f t="shared" si="28"/>
        <v>62.131546252055124</v>
      </c>
    </row>
    <row r="118" spans="2:16" x14ac:dyDescent="0.25">
      <c r="B118" s="70">
        <v>3</v>
      </c>
      <c r="C118" s="70"/>
      <c r="D118" s="70">
        <v>3</v>
      </c>
      <c r="E118" s="70"/>
      <c r="F118" s="70" t="s">
        <v>3</v>
      </c>
      <c r="G118" s="64">
        <f>SUM(G119:G125)</f>
        <v>1370686.37</v>
      </c>
      <c r="H118" s="64">
        <f t="shared" ref="H118:I118" si="38">SUM(H119:H125)</f>
        <v>3190849.6</v>
      </c>
      <c r="I118" s="64">
        <f t="shared" si="38"/>
        <v>3190849.6</v>
      </c>
      <c r="J118" s="64">
        <f>SUM(J119:J125)</f>
        <v>1788844.2</v>
      </c>
      <c r="K118" s="102">
        <f t="shared" si="27"/>
        <v>130.50718524325882</v>
      </c>
      <c r="L118" s="93">
        <f t="shared" si="28"/>
        <v>56.06168965155863</v>
      </c>
    </row>
    <row r="119" spans="2:16" x14ac:dyDescent="0.25">
      <c r="B119" s="5"/>
      <c r="C119" s="8">
        <v>31</v>
      </c>
      <c r="D119" s="8"/>
      <c r="E119" s="8">
        <v>31</v>
      </c>
      <c r="F119" s="8" t="s">
        <v>4</v>
      </c>
      <c r="G119" s="74">
        <f>1028.22+1353298.97</f>
        <v>1354327.19</v>
      </c>
      <c r="H119" s="73">
        <v>3190000</v>
      </c>
      <c r="I119" s="73">
        <v>3190000</v>
      </c>
      <c r="J119" s="74">
        <v>1785958</v>
      </c>
      <c r="K119" s="93">
        <f t="shared" si="27"/>
        <v>131.87049726144832</v>
      </c>
      <c r="L119" s="93">
        <f t="shared" si="28"/>
        <v>55.986144200626967</v>
      </c>
    </row>
    <row r="120" spans="2:16" x14ac:dyDescent="0.25">
      <c r="B120" s="6"/>
      <c r="C120" s="6">
        <v>32</v>
      </c>
      <c r="D120" s="7"/>
      <c r="E120" s="7">
        <v>32</v>
      </c>
      <c r="F120" s="6" t="s">
        <v>9</v>
      </c>
      <c r="G120" s="74">
        <f>3566.12</f>
        <v>3566.12</v>
      </c>
      <c r="H120" s="73">
        <v>795.6</v>
      </c>
      <c r="I120" s="73">
        <v>795.6</v>
      </c>
      <c r="J120" s="74">
        <v>2827.7</v>
      </c>
      <c r="K120" s="93">
        <f t="shared" si="27"/>
        <v>79.293461801621916</v>
      </c>
      <c r="L120" s="93">
        <f t="shared" si="28"/>
        <v>355.41729512317744</v>
      </c>
    </row>
    <row r="121" spans="2:16" x14ac:dyDescent="0.25">
      <c r="B121" s="6"/>
      <c r="C121" s="6">
        <v>34</v>
      </c>
      <c r="D121" s="7"/>
      <c r="E121" s="6">
        <v>34</v>
      </c>
      <c r="F121" s="6" t="s">
        <v>79</v>
      </c>
      <c r="G121" s="74">
        <f>153.41</f>
        <v>153.41</v>
      </c>
      <c r="H121" s="73"/>
      <c r="I121" s="73"/>
      <c r="J121" s="74"/>
      <c r="K121" s="93">
        <f t="shared" si="27"/>
        <v>0</v>
      </c>
      <c r="L121" s="93" t="str">
        <f t="shared" si="28"/>
        <v/>
      </c>
    </row>
    <row r="122" spans="2:16" x14ac:dyDescent="0.25">
      <c r="B122" s="6"/>
      <c r="C122" s="6">
        <v>35</v>
      </c>
      <c r="D122" s="7"/>
      <c r="E122" s="6">
        <v>35</v>
      </c>
      <c r="F122" s="6" t="s">
        <v>149</v>
      </c>
      <c r="G122" s="74">
        <v>1183.06</v>
      </c>
      <c r="H122" s="73"/>
      <c r="I122" s="73"/>
      <c r="J122" s="74"/>
      <c r="K122" s="93">
        <f t="shared" si="27"/>
        <v>0</v>
      </c>
      <c r="L122" s="93" t="str">
        <f t="shared" si="28"/>
        <v/>
      </c>
    </row>
    <row r="123" spans="2:16" x14ac:dyDescent="0.25">
      <c r="B123" s="6"/>
      <c r="C123" s="6">
        <v>36</v>
      </c>
      <c r="D123" s="7"/>
      <c r="E123" s="6">
        <v>36</v>
      </c>
      <c r="F123" s="6" t="s">
        <v>169</v>
      </c>
      <c r="G123" s="74">
        <v>7920.61</v>
      </c>
      <c r="H123" s="73"/>
      <c r="I123" s="73"/>
      <c r="J123" s="74"/>
      <c r="K123" s="93">
        <f t="shared" si="27"/>
        <v>0</v>
      </c>
      <c r="L123" s="93" t="str">
        <f t="shared" si="28"/>
        <v/>
      </c>
    </row>
    <row r="124" spans="2:16" x14ac:dyDescent="0.25">
      <c r="B124" s="6"/>
      <c r="C124" s="6">
        <v>37</v>
      </c>
      <c r="D124" s="7"/>
      <c r="E124" s="6">
        <v>37</v>
      </c>
      <c r="F124" s="6" t="s">
        <v>106</v>
      </c>
      <c r="G124" s="74"/>
      <c r="H124" s="73"/>
      <c r="I124" s="73"/>
      <c r="J124" s="74"/>
      <c r="K124" s="93" t="str">
        <f t="shared" si="27"/>
        <v/>
      </c>
      <c r="L124" s="93" t="str">
        <f t="shared" si="28"/>
        <v/>
      </c>
    </row>
    <row r="125" spans="2:16" x14ac:dyDescent="0.25">
      <c r="B125" s="6"/>
      <c r="C125" s="6">
        <v>38</v>
      </c>
      <c r="D125" s="7"/>
      <c r="E125" s="6">
        <v>38</v>
      </c>
      <c r="F125" s="6" t="s">
        <v>111</v>
      </c>
      <c r="G125" s="74">
        <f>54+3481.98</f>
        <v>3535.98</v>
      </c>
      <c r="H125" s="73">
        <v>54</v>
      </c>
      <c r="I125" s="73">
        <v>54</v>
      </c>
      <c r="J125" s="74">
        <v>58.5</v>
      </c>
      <c r="K125" s="93">
        <f t="shared" si="27"/>
        <v>1.6544211222914156</v>
      </c>
      <c r="L125" s="93">
        <f t="shared" si="28"/>
        <v>108.33333333333333</v>
      </c>
    </row>
    <row r="126" spans="2:16" x14ac:dyDescent="0.25">
      <c r="B126" s="75">
        <v>4</v>
      </c>
      <c r="C126" s="75"/>
      <c r="D126" s="75">
        <v>4</v>
      </c>
      <c r="E126" s="75"/>
      <c r="F126" s="76" t="s">
        <v>5</v>
      </c>
      <c r="G126" s="64"/>
      <c r="H126" s="64">
        <f>SUM(H127:H128)</f>
        <v>1064621.0900000001</v>
      </c>
      <c r="I126" s="64">
        <f>SUM(I127:I128)</f>
        <v>1064621.0900000001</v>
      </c>
      <c r="J126" s="64">
        <f>SUM(J127:J128)</f>
        <v>855145.53999999992</v>
      </c>
      <c r="K126" s="93" t="str">
        <f t="shared" si="27"/>
        <v/>
      </c>
      <c r="L126" s="93">
        <f t="shared" si="28"/>
        <v>80.323933842039509</v>
      </c>
      <c r="P126" s="100"/>
    </row>
    <row r="127" spans="2:16" x14ac:dyDescent="0.25">
      <c r="B127" s="127"/>
      <c r="C127" s="128">
        <v>42</v>
      </c>
      <c r="D127" s="127"/>
      <c r="E127" s="128">
        <v>42</v>
      </c>
      <c r="F127" s="18" t="s">
        <v>66</v>
      </c>
      <c r="G127" s="135"/>
      <c r="H127" s="32">
        <v>1197</v>
      </c>
      <c r="I127" s="32">
        <v>1197</v>
      </c>
      <c r="J127" s="135">
        <f>2990+267+749+5.65</f>
        <v>4011.65</v>
      </c>
      <c r="K127" s="93" t="str">
        <f t="shared" si="27"/>
        <v/>
      </c>
      <c r="L127" s="93">
        <f t="shared" si="28"/>
        <v>335.14202172096913</v>
      </c>
    </row>
    <row r="128" spans="2:16" x14ac:dyDescent="0.25">
      <c r="B128" s="127"/>
      <c r="C128" s="128">
        <v>45</v>
      </c>
      <c r="D128" s="127"/>
      <c r="E128" s="128">
        <v>45</v>
      </c>
      <c r="F128" s="18" t="s">
        <v>171</v>
      </c>
      <c r="G128" s="135"/>
      <c r="H128" s="32">
        <v>1063424.0900000001</v>
      </c>
      <c r="I128" s="32">
        <v>1063424.0900000001</v>
      </c>
      <c r="J128" s="135">
        <f>999412.46-148278.57</f>
        <v>851133.8899999999</v>
      </c>
      <c r="K128" s="93"/>
      <c r="L128" s="93"/>
    </row>
    <row r="129" spans="2:12" x14ac:dyDescent="0.25">
      <c r="B129" s="53"/>
      <c r="C129" s="53"/>
      <c r="D129" s="53"/>
      <c r="E129" s="53"/>
      <c r="F129" s="53" t="s">
        <v>170</v>
      </c>
      <c r="G129" s="55">
        <f t="shared" ref="G129:J129" si="39">SUM(G130)</f>
        <v>1501.94</v>
      </c>
      <c r="H129" s="55">
        <f t="shared" si="39"/>
        <v>0</v>
      </c>
      <c r="I129" s="55">
        <f t="shared" si="39"/>
        <v>0</v>
      </c>
      <c r="J129" s="55">
        <f t="shared" si="39"/>
        <v>0</v>
      </c>
      <c r="K129" s="93">
        <f t="shared" si="27"/>
        <v>0</v>
      </c>
      <c r="L129" s="118" t="str">
        <f t="shared" si="28"/>
        <v/>
      </c>
    </row>
    <row r="130" spans="2:12" x14ac:dyDescent="0.25">
      <c r="B130" s="70">
        <v>3</v>
      </c>
      <c r="C130" s="70"/>
      <c r="D130" s="70">
        <v>3</v>
      </c>
      <c r="E130" s="70"/>
      <c r="F130" s="70" t="s">
        <v>3</v>
      </c>
      <c r="G130" s="99">
        <f>SUM(G131:G132)</f>
        <v>1501.94</v>
      </c>
      <c r="H130" s="99">
        <f>SUM(H131:H132)</f>
        <v>0</v>
      </c>
      <c r="I130" s="99">
        <f>SUM(I131:I132)</f>
        <v>0</v>
      </c>
      <c r="J130" s="99">
        <f>SUM(J131:J132)</f>
        <v>0</v>
      </c>
      <c r="K130" s="123"/>
      <c r="L130" s="93" t="str">
        <f t="shared" si="28"/>
        <v/>
      </c>
    </row>
    <row r="131" spans="2:12" x14ac:dyDescent="0.25">
      <c r="B131" s="8"/>
      <c r="C131" s="8">
        <v>31</v>
      </c>
      <c r="D131" s="8"/>
      <c r="E131" s="8">
        <v>31</v>
      </c>
      <c r="F131" s="8" t="s">
        <v>4</v>
      </c>
      <c r="G131" s="63">
        <v>664</v>
      </c>
      <c r="H131" s="63"/>
      <c r="I131" s="63"/>
      <c r="J131" s="63"/>
      <c r="K131" s="82"/>
      <c r="L131" s="93"/>
    </row>
    <row r="132" spans="2:12" x14ac:dyDescent="0.25">
      <c r="B132" s="6"/>
      <c r="C132" s="6">
        <v>32</v>
      </c>
      <c r="D132" s="7"/>
      <c r="E132" s="7">
        <v>32</v>
      </c>
      <c r="F132" s="6" t="s">
        <v>9</v>
      </c>
      <c r="G132" s="135">
        <v>837.94</v>
      </c>
      <c r="H132" s="32"/>
      <c r="I132" s="32"/>
      <c r="J132" s="135"/>
      <c r="K132" s="123"/>
      <c r="L132" s="93" t="str">
        <f t="shared" si="28"/>
        <v/>
      </c>
    </row>
    <row r="133" spans="2:12" x14ac:dyDescent="0.25">
      <c r="B133" s="129"/>
      <c r="C133" s="129"/>
      <c r="D133" s="129"/>
      <c r="E133" s="129"/>
      <c r="F133" s="130" t="s">
        <v>142</v>
      </c>
      <c r="G133" s="67">
        <f>G134+G142</f>
        <v>77145.27</v>
      </c>
      <c r="H133" s="67">
        <f>H134+H142</f>
        <v>80000</v>
      </c>
      <c r="I133" s="67">
        <f>I134+I142</f>
        <v>80000</v>
      </c>
      <c r="J133" s="67">
        <f>J134+J142</f>
        <v>864.41</v>
      </c>
      <c r="K133" s="85"/>
      <c r="L133" s="118">
        <f t="shared" si="28"/>
        <v>1.0805124999999998</v>
      </c>
    </row>
    <row r="134" spans="2:12" x14ac:dyDescent="0.25">
      <c r="B134" s="131">
        <v>3</v>
      </c>
      <c r="C134" s="131"/>
      <c r="D134" s="131">
        <v>3</v>
      </c>
      <c r="E134" s="131"/>
      <c r="F134" s="132" t="s">
        <v>3</v>
      </c>
      <c r="G134" s="124">
        <f>SUM(G135:G141)</f>
        <v>77145.27</v>
      </c>
      <c r="H134" s="124">
        <f>SUM(H135:H141)</f>
        <v>80000</v>
      </c>
      <c r="I134" s="124">
        <f>SUM(I135:I141)</f>
        <v>80000</v>
      </c>
      <c r="J134" s="124">
        <f>SUM(J135:J141)</f>
        <v>864.41</v>
      </c>
      <c r="K134" s="126"/>
      <c r="L134" s="93">
        <f t="shared" si="28"/>
        <v>1.0805124999999998</v>
      </c>
    </row>
    <row r="135" spans="2:12" x14ac:dyDescent="0.25">
      <c r="B135" s="5"/>
      <c r="C135" s="8">
        <v>31</v>
      </c>
      <c r="D135" s="8"/>
      <c r="E135" s="8">
        <v>31</v>
      </c>
      <c r="F135" s="8" t="s">
        <v>4</v>
      </c>
      <c r="G135" s="163">
        <v>5826.59</v>
      </c>
      <c r="H135" s="164"/>
      <c r="I135" s="164"/>
      <c r="J135" s="163"/>
      <c r="K135" s="126"/>
      <c r="L135" s="93" t="str">
        <f t="shared" si="28"/>
        <v/>
      </c>
    </row>
    <row r="136" spans="2:12" x14ac:dyDescent="0.25">
      <c r="B136" s="8"/>
      <c r="C136" s="8">
        <v>32</v>
      </c>
      <c r="D136" s="8"/>
      <c r="E136" s="8">
        <v>32</v>
      </c>
      <c r="F136" s="18" t="s">
        <v>140</v>
      </c>
      <c r="G136" s="74"/>
      <c r="H136" s="73">
        <f>80000</f>
        <v>80000</v>
      </c>
      <c r="I136" s="73">
        <f>80000</f>
        <v>80000</v>
      </c>
      <c r="J136" s="74">
        <v>864.41</v>
      </c>
      <c r="K136" s="93" t="str">
        <f t="shared" ref="K136:K144" si="40">IFERROR(J136/G136*100,"")</f>
        <v/>
      </c>
      <c r="L136" s="93">
        <f t="shared" si="28"/>
        <v>1.0805124999999998</v>
      </c>
    </row>
    <row r="137" spans="2:12" x14ac:dyDescent="0.25">
      <c r="B137" s="6"/>
      <c r="C137" s="6">
        <v>34</v>
      </c>
      <c r="D137" s="7"/>
      <c r="E137" s="6">
        <v>34</v>
      </c>
      <c r="F137" s="6" t="s">
        <v>79</v>
      </c>
      <c r="G137" s="74"/>
      <c r="H137" s="73"/>
      <c r="I137" s="73"/>
      <c r="J137" s="74"/>
      <c r="K137" s="93" t="str">
        <f t="shared" si="40"/>
        <v/>
      </c>
      <c r="L137" s="93" t="str">
        <f t="shared" si="28"/>
        <v/>
      </c>
    </row>
    <row r="138" spans="2:12" x14ac:dyDescent="0.25">
      <c r="B138" s="6"/>
      <c r="C138" s="6">
        <v>35</v>
      </c>
      <c r="D138" s="7"/>
      <c r="E138" s="6">
        <v>35</v>
      </c>
      <c r="F138" s="6" t="s">
        <v>149</v>
      </c>
      <c r="G138" s="74">
        <v>6704.02</v>
      </c>
      <c r="H138" s="73"/>
      <c r="I138" s="73"/>
      <c r="J138" s="74"/>
      <c r="K138" s="93">
        <f t="shared" si="40"/>
        <v>0</v>
      </c>
      <c r="L138" s="93" t="str">
        <f t="shared" si="28"/>
        <v/>
      </c>
    </row>
    <row r="139" spans="2:12" x14ac:dyDescent="0.25">
      <c r="B139" s="6"/>
      <c r="C139" s="6">
        <v>36</v>
      </c>
      <c r="D139" s="7"/>
      <c r="E139" s="6">
        <v>36</v>
      </c>
      <c r="F139" s="6" t="s">
        <v>169</v>
      </c>
      <c r="G139" s="74">
        <v>44883.42</v>
      </c>
      <c r="H139" s="73"/>
      <c r="I139" s="73"/>
      <c r="J139" s="74"/>
      <c r="K139" s="93">
        <f t="shared" si="40"/>
        <v>0</v>
      </c>
      <c r="L139" s="93" t="str">
        <f t="shared" si="28"/>
        <v/>
      </c>
    </row>
    <row r="140" spans="2:12" x14ac:dyDescent="0.25">
      <c r="B140" s="6"/>
      <c r="C140" s="6">
        <v>37</v>
      </c>
      <c r="D140" s="7"/>
      <c r="E140" s="6">
        <v>37</v>
      </c>
      <c r="F140" s="6" t="s">
        <v>106</v>
      </c>
      <c r="G140" s="74"/>
      <c r="H140" s="73"/>
      <c r="I140" s="73"/>
      <c r="J140" s="74"/>
      <c r="K140" s="93" t="str">
        <f t="shared" si="40"/>
        <v/>
      </c>
      <c r="L140" s="93" t="str">
        <f t="shared" si="28"/>
        <v/>
      </c>
    </row>
    <row r="141" spans="2:12" x14ac:dyDescent="0.25">
      <c r="B141" s="6"/>
      <c r="C141" s="6">
        <v>38</v>
      </c>
      <c r="D141" s="7"/>
      <c r="E141" s="6">
        <v>38</v>
      </c>
      <c r="F141" s="6" t="s">
        <v>111</v>
      </c>
      <c r="G141" s="74">
        <v>19731.240000000002</v>
      </c>
      <c r="H141" s="73"/>
      <c r="I141" s="73"/>
      <c r="J141" s="74"/>
      <c r="K141" s="93">
        <f t="shared" si="40"/>
        <v>0</v>
      </c>
      <c r="L141" s="93" t="str">
        <f t="shared" si="28"/>
        <v/>
      </c>
    </row>
    <row r="142" spans="2:12" x14ac:dyDescent="0.25">
      <c r="B142" s="75">
        <v>4</v>
      </c>
      <c r="C142" s="75"/>
      <c r="D142" s="75">
        <v>4</v>
      </c>
      <c r="E142" s="75"/>
      <c r="F142" s="76" t="s">
        <v>5</v>
      </c>
      <c r="G142" s="165"/>
      <c r="H142" s="165">
        <f>SUM(H143:H144)</f>
        <v>0</v>
      </c>
      <c r="I142" s="165">
        <f>SUM(I143:I144)</f>
        <v>0</v>
      </c>
      <c r="J142" s="165"/>
      <c r="K142" s="93" t="str">
        <f t="shared" si="40"/>
        <v/>
      </c>
      <c r="L142" s="93" t="str">
        <f t="shared" si="28"/>
        <v/>
      </c>
    </row>
    <row r="143" spans="2:12" x14ac:dyDescent="0.25">
      <c r="B143" s="127"/>
      <c r="C143" s="128">
        <v>42</v>
      </c>
      <c r="D143" s="127"/>
      <c r="E143" s="128">
        <v>42</v>
      </c>
      <c r="F143" s="18" t="s">
        <v>66</v>
      </c>
      <c r="G143" s="74"/>
      <c r="H143" s="73"/>
      <c r="I143" s="73"/>
      <c r="J143" s="74"/>
      <c r="K143" s="93" t="str">
        <f t="shared" si="40"/>
        <v/>
      </c>
      <c r="L143" s="93" t="str">
        <f t="shared" si="28"/>
        <v/>
      </c>
    </row>
    <row r="144" spans="2:12" x14ac:dyDescent="0.25">
      <c r="B144" s="127"/>
      <c r="C144" s="128">
        <v>45</v>
      </c>
      <c r="D144" s="127"/>
      <c r="E144" s="128">
        <v>45</v>
      </c>
      <c r="F144" s="18" t="s">
        <v>171</v>
      </c>
      <c r="G144" s="74"/>
      <c r="H144" s="73"/>
      <c r="I144" s="73"/>
      <c r="J144" s="74"/>
      <c r="K144" s="93" t="str">
        <f t="shared" si="40"/>
        <v/>
      </c>
      <c r="L144" s="93" t="str">
        <f t="shared" si="28"/>
        <v/>
      </c>
    </row>
    <row r="145" spans="2:12" x14ac:dyDescent="0.25">
      <c r="B145" s="53"/>
      <c r="C145" s="53"/>
      <c r="D145" s="53"/>
      <c r="E145" s="53"/>
      <c r="F145" s="53" t="s">
        <v>87</v>
      </c>
      <c r="G145" s="55">
        <f>G146</f>
        <v>45993.99</v>
      </c>
      <c r="H145" s="55">
        <f>H146</f>
        <v>52124.62</v>
      </c>
      <c r="I145" s="55">
        <f>I146</f>
        <v>52124.62</v>
      </c>
      <c r="J145" s="55">
        <f>J146</f>
        <v>51500.83</v>
      </c>
      <c r="K145" s="85">
        <f t="shared" si="27"/>
        <v>111.97295559702476</v>
      </c>
      <c r="L145" s="118">
        <f t="shared" si="28"/>
        <v>98.803271851190473</v>
      </c>
    </row>
    <row r="146" spans="2:12" x14ac:dyDescent="0.25">
      <c r="B146" s="70">
        <v>3</v>
      </c>
      <c r="C146" s="70"/>
      <c r="D146" s="70">
        <v>3</v>
      </c>
      <c r="E146" s="70"/>
      <c r="F146" s="70" t="s">
        <v>3</v>
      </c>
      <c r="G146" s="64">
        <f t="shared" ref="G146:J146" si="41">G147</f>
        <v>45993.99</v>
      </c>
      <c r="H146" s="64">
        <f t="shared" si="41"/>
        <v>52124.62</v>
      </c>
      <c r="I146" s="64">
        <f t="shared" si="41"/>
        <v>52124.62</v>
      </c>
      <c r="J146" s="64">
        <f t="shared" si="41"/>
        <v>51500.83</v>
      </c>
      <c r="K146" s="102">
        <f t="shared" si="27"/>
        <v>111.97295559702476</v>
      </c>
      <c r="L146" s="93">
        <f t="shared" si="28"/>
        <v>98.803271851190473</v>
      </c>
    </row>
    <row r="147" spans="2:12" x14ac:dyDescent="0.25">
      <c r="B147" s="6"/>
      <c r="C147" s="6">
        <v>32</v>
      </c>
      <c r="D147" s="7"/>
      <c r="E147" s="7">
        <v>32</v>
      </c>
      <c r="F147" s="6" t="s">
        <v>9</v>
      </c>
      <c r="G147" s="74">
        <v>45993.99</v>
      </c>
      <c r="H147" s="73">
        <v>52124.62</v>
      </c>
      <c r="I147" s="73">
        <v>52124.62</v>
      </c>
      <c r="J147" s="74">
        <v>51500.83</v>
      </c>
      <c r="K147" s="93">
        <f t="shared" si="27"/>
        <v>111.97295559702476</v>
      </c>
      <c r="L147" s="93">
        <f t="shared" si="28"/>
        <v>98.803271851190473</v>
      </c>
    </row>
    <row r="148" spans="2:12" x14ac:dyDescent="0.25">
      <c r="B148" s="53"/>
      <c r="C148" s="53"/>
      <c r="D148" s="53"/>
      <c r="E148" s="53"/>
      <c r="F148" s="53" t="s">
        <v>85</v>
      </c>
      <c r="G148" s="67"/>
      <c r="H148" s="67">
        <f>H149</f>
        <v>0</v>
      </c>
      <c r="I148" s="67">
        <f>I149</f>
        <v>0</v>
      </c>
      <c r="J148" s="67"/>
      <c r="K148" s="85" t="str">
        <f>IFERROR(J148/G148*100,"")</f>
        <v/>
      </c>
      <c r="L148" s="118" t="str">
        <f t="shared" si="28"/>
        <v/>
      </c>
    </row>
    <row r="149" spans="2:12" x14ac:dyDescent="0.25">
      <c r="B149" s="70">
        <v>3</v>
      </c>
      <c r="C149" s="70"/>
      <c r="D149" s="70">
        <v>3</v>
      </c>
      <c r="E149" s="70"/>
      <c r="F149" s="70" t="s">
        <v>3</v>
      </c>
      <c r="G149" s="71"/>
      <c r="H149" s="71">
        <f>SUM(H150)</f>
        <v>0</v>
      </c>
      <c r="I149" s="71">
        <f>SUM(I150)</f>
        <v>0</v>
      </c>
      <c r="J149" s="71"/>
      <c r="K149" s="102" t="str">
        <f t="shared" si="27"/>
        <v/>
      </c>
      <c r="L149" s="93" t="str">
        <f t="shared" si="28"/>
        <v/>
      </c>
    </row>
    <row r="150" spans="2:12" x14ac:dyDescent="0.25">
      <c r="B150" s="5"/>
      <c r="C150" s="8">
        <v>32</v>
      </c>
      <c r="D150" s="8"/>
      <c r="E150" s="8">
        <v>32</v>
      </c>
      <c r="F150" s="8" t="s">
        <v>9</v>
      </c>
      <c r="G150" s="74">
        <v>0</v>
      </c>
      <c r="H150" s="73"/>
      <c r="I150" s="73"/>
      <c r="J150" s="74">
        <v>0</v>
      </c>
      <c r="K150" s="93" t="str">
        <f t="shared" si="27"/>
        <v/>
      </c>
      <c r="L150" s="93" t="str">
        <f t="shared" si="28"/>
        <v/>
      </c>
    </row>
    <row r="151" spans="2:12" x14ac:dyDescent="0.25">
      <c r="B151" s="75">
        <v>4</v>
      </c>
      <c r="C151" s="75"/>
      <c r="D151" s="75">
        <v>4</v>
      </c>
      <c r="E151" s="75"/>
      <c r="F151" s="76" t="s">
        <v>5</v>
      </c>
      <c r="G151" s="64"/>
      <c r="H151" s="71"/>
      <c r="I151" s="71"/>
      <c r="J151" s="64"/>
      <c r="K151" s="102" t="str">
        <f t="shared" si="27"/>
        <v/>
      </c>
      <c r="L151" s="93" t="str">
        <f t="shared" si="28"/>
        <v/>
      </c>
    </row>
    <row r="152" spans="2:12" x14ac:dyDescent="0.25">
      <c r="B152" s="8"/>
      <c r="C152" s="8">
        <v>42</v>
      </c>
      <c r="D152" s="8"/>
      <c r="E152" s="8">
        <v>42</v>
      </c>
      <c r="F152" s="18" t="s">
        <v>66</v>
      </c>
      <c r="G152" s="167"/>
      <c r="H152" s="73"/>
      <c r="I152" s="73"/>
      <c r="J152" s="167"/>
      <c r="K152" s="93" t="str">
        <f t="shared" si="27"/>
        <v/>
      </c>
      <c r="L152" s="93" t="str">
        <f t="shared" si="28"/>
        <v/>
      </c>
    </row>
    <row r="153" spans="2:12" x14ac:dyDescent="0.25">
      <c r="B153" s="53"/>
      <c r="C153" s="53"/>
      <c r="D153" s="53"/>
      <c r="E153" s="53"/>
      <c r="F153" s="53" t="s">
        <v>86</v>
      </c>
      <c r="G153" s="67">
        <f>SUM(G154)</f>
        <v>0</v>
      </c>
      <c r="H153" s="67">
        <f>SUM(H154)</f>
        <v>1600</v>
      </c>
      <c r="I153" s="67">
        <f>SUM(I154)</f>
        <v>1600</v>
      </c>
      <c r="J153" s="67">
        <f>SUM(J154)</f>
        <v>1600</v>
      </c>
      <c r="K153" s="85" t="str">
        <f t="shared" si="27"/>
        <v/>
      </c>
      <c r="L153" s="118">
        <f t="shared" si="28"/>
        <v>100</v>
      </c>
    </row>
    <row r="154" spans="2:12" x14ac:dyDescent="0.25">
      <c r="B154" s="70">
        <v>3</v>
      </c>
      <c r="C154" s="70"/>
      <c r="D154" s="70">
        <v>3</v>
      </c>
      <c r="E154" s="70"/>
      <c r="F154" s="70" t="s">
        <v>3</v>
      </c>
      <c r="G154" s="71">
        <f>SUM(G155:G156)</f>
        <v>0</v>
      </c>
      <c r="H154" s="71">
        <f>SUM(H155:H156)</f>
        <v>1600</v>
      </c>
      <c r="I154" s="71">
        <f>SUM(I155:I156)</f>
        <v>1600</v>
      </c>
      <c r="J154" s="71">
        <f>SUM(J155:J156)</f>
        <v>1600</v>
      </c>
      <c r="K154" s="102" t="str">
        <f t="shared" si="27"/>
        <v/>
      </c>
      <c r="L154" s="93">
        <f t="shared" si="28"/>
        <v>100</v>
      </c>
    </row>
    <row r="155" spans="2:12" x14ac:dyDescent="0.25">
      <c r="B155" s="5"/>
      <c r="C155" s="5"/>
      <c r="D155" s="5"/>
      <c r="E155" s="8">
        <v>31</v>
      </c>
      <c r="F155" s="8" t="s">
        <v>4</v>
      </c>
      <c r="G155" s="99"/>
      <c r="H155" s="32"/>
      <c r="I155" s="32"/>
      <c r="J155" s="99"/>
      <c r="K155" s="82"/>
      <c r="L155" s="93" t="str">
        <f>IFERROR(J155/H155*100,"")</f>
        <v/>
      </c>
    </row>
    <row r="156" spans="2:12" x14ac:dyDescent="0.25">
      <c r="B156" s="5"/>
      <c r="C156" s="8">
        <v>32</v>
      </c>
      <c r="D156" s="8"/>
      <c r="E156" s="8">
        <v>32</v>
      </c>
      <c r="F156" s="8" t="s">
        <v>9</v>
      </c>
      <c r="G156" s="74"/>
      <c r="H156" s="73">
        <v>1600</v>
      </c>
      <c r="I156" s="73">
        <v>1600</v>
      </c>
      <c r="J156" s="74">
        <v>1600</v>
      </c>
      <c r="K156" s="93" t="str">
        <f t="shared" si="27"/>
        <v/>
      </c>
      <c r="L156" s="93">
        <f t="shared" si="28"/>
        <v>100</v>
      </c>
    </row>
    <row r="157" spans="2:12" x14ac:dyDescent="0.25">
      <c r="B157" s="53"/>
      <c r="C157" s="117"/>
      <c r="D157" s="117"/>
      <c r="E157" s="117"/>
      <c r="F157" s="53" t="s">
        <v>141</v>
      </c>
      <c r="G157" s="133"/>
      <c r="H157" s="119"/>
      <c r="I157" s="119"/>
      <c r="J157" s="133"/>
      <c r="K157" s="118"/>
      <c r="L157" s="118" t="str">
        <f t="shared" si="28"/>
        <v/>
      </c>
    </row>
    <row r="158" spans="2:12" x14ac:dyDescent="0.25">
      <c r="B158" s="75">
        <v>4</v>
      </c>
      <c r="C158" s="75"/>
      <c r="D158" s="75">
        <v>4</v>
      </c>
      <c r="E158" s="75"/>
      <c r="F158" s="76" t="s">
        <v>5</v>
      </c>
      <c r="G158" s="64"/>
      <c r="H158" s="71"/>
      <c r="I158" s="71"/>
      <c r="J158" s="64"/>
      <c r="K158" s="102" t="str">
        <f t="shared" si="27"/>
        <v/>
      </c>
      <c r="L158" s="93" t="str">
        <f t="shared" si="28"/>
        <v/>
      </c>
    </row>
    <row r="159" spans="2:12" x14ac:dyDescent="0.25">
      <c r="B159" s="8"/>
      <c r="C159" s="8">
        <v>42</v>
      </c>
      <c r="D159" s="8"/>
      <c r="E159" s="8">
        <v>42</v>
      </c>
      <c r="F159" s="18" t="s">
        <v>66</v>
      </c>
      <c r="G159" s="74"/>
      <c r="H159" s="73"/>
      <c r="I159" s="73"/>
      <c r="J159" s="74"/>
      <c r="K159" s="93" t="str">
        <f t="shared" si="27"/>
        <v/>
      </c>
      <c r="L159" s="93" t="str">
        <f t="shared" si="28"/>
        <v/>
      </c>
    </row>
    <row r="160" spans="2:12" x14ac:dyDescent="0.25">
      <c r="B160" s="53"/>
      <c r="C160" s="117"/>
      <c r="D160" s="117"/>
      <c r="E160" s="117"/>
      <c r="F160" s="53" t="s">
        <v>172</v>
      </c>
      <c r="G160" s="133">
        <f>G161+G163</f>
        <v>624788.57999999996</v>
      </c>
      <c r="H160" s="119">
        <f>H163</f>
        <v>0</v>
      </c>
      <c r="I160" s="119">
        <f>I163</f>
        <v>0</v>
      </c>
      <c r="J160" s="133">
        <f>J161+J163</f>
        <v>0</v>
      </c>
      <c r="K160" s="118"/>
      <c r="L160" s="118" t="str">
        <f t="shared" ref="L160:L164" si="42">IFERROR(J160/H160*100,"")</f>
        <v/>
      </c>
    </row>
    <row r="161" spans="2:12" x14ac:dyDescent="0.25">
      <c r="B161" s="70">
        <v>3</v>
      </c>
      <c r="C161" s="70"/>
      <c r="D161" s="70">
        <v>3</v>
      </c>
      <c r="E161" s="70"/>
      <c r="F161" s="70" t="s">
        <v>3</v>
      </c>
      <c r="G161" s="207">
        <f>SUM(G162)</f>
        <v>22187.5</v>
      </c>
      <c r="H161" s="72"/>
      <c r="I161" s="72"/>
      <c r="J161" s="207">
        <f>SUM(J162)</f>
        <v>0</v>
      </c>
      <c r="K161" s="93"/>
      <c r="L161" s="93"/>
    </row>
    <row r="162" spans="2:12" x14ac:dyDescent="0.25">
      <c r="B162" s="5"/>
      <c r="C162" s="8">
        <v>32</v>
      </c>
      <c r="D162" s="8"/>
      <c r="E162" s="8">
        <v>32</v>
      </c>
      <c r="F162" s="8" t="s">
        <v>9</v>
      </c>
      <c r="G162" s="167">
        <v>22187.5</v>
      </c>
      <c r="H162" s="72"/>
      <c r="I162" s="72"/>
      <c r="J162" s="167"/>
      <c r="K162" s="93"/>
      <c r="L162" s="93"/>
    </row>
    <row r="163" spans="2:12" x14ac:dyDescent="0.25">
      <c r="B163" s="75">
        <v>4</v>
      </c>
      <c r="C163" s="75"/>
      <c r="D163" s="75">
        <v>4</v>
      </c>
      <c r="E163" s="75"/>
      <c r="F163" s="76" t="s">
        <v>5</v>
      </c>
      <c r="G163" s="208">
        <f>SUM(G164)</f>
        <v>602601.07999999996</v>
      </c>
      <c r="H163" s="72">
        <f>H164</f>
        <v>0</v>
      </c>
      <c r="I163" s="72">
        <f>I164</f>
        <v>0</v>
      </c>
      <c r="J163" s="208">
        <f>SUM(J164)</f>
        <v>0</v>
      </c>
      <c r="K163" s="166"/>
      <c r="L163" s="93" t="str">
        <f t="shared" si="42"/>
        <v/>
      </c>
    </row>
    <row r="164" spans="2:12" x14ac:dyDescent="0.25">
      <c r="B164" s="8"/>
      <c r="C164" s="8">
        <v>45</v>
      </c>
      <c r="D164" s="8"/>
      <c r="E164" s="8">
        <v>45</v>
      </c>
      <c r="F164" s="18" t="s">
        <v>171</v>
      </c>
      <c r="G164" s="34">
        <v>602601.07999999996</v>
      </c>
      <c r="H164" s="34"/>
      <c r="I164" s="34"/>
      <c r="J164" s="34"/>
      <c r="K164" s="166"/>
      <c r="L164" s="93" t="str">
        <f t="shared" si="42"/>
        <v/>
      </c>
    </row>
  </sheetData>
  <mergeCells count="5">
    <mergeCell ref="B45:F45"/>
    <mergeCell ref="B2:L2"/>
    <mergeCell ref="B4:F4"/>
    <mergeCell ref="B5:F5"/>
    <mergeCell ref="B44:F4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DF950-D81F-43E8-9C73-D8B8D779A493}">
  <sheetPr>
    <pageSetUpPr fitToPage="1"/>
  </sheetPr>
  <dimension ref="A2:I17"/>
  <sheetViews>
    <sheetView workbookViewId="0">
      <selection activeCell="H8" sqref="H8"/>
    </sheetView>
  </sheetViews>
  <sheetFormatPr defaultRowHeight="15" x14ac:dyDescent="0.25"/>
  <cols>
    <col min="5" max="5" width="29.28515625" customWidth="1"/>
    <col min="6" max="6" width="26.140625" customWidth="1"/>
    <col min="7" max="7" width="22.28515625" customWidth="1"/>
    <col min="8" max="8" width="21.5703125" customWidth="1"/>
    <col min="9" max="9" width="28.7109375" customWidth="1"/>
  </cols>
  <sheetData>
    <row r="2" spans="1:9" ht="15.75" x14ac:dyDescent="0.25">
      <c r="B2" s="261" t="s">
        <v>178</v>
      </c>
      <c r="C2" s="261"/>
      <c r="D2" s="261"/>
      <c r="E2" s="261"/>
      <c r="F2" s="261"/>
      <c r="G2" s="261"/>
      <c r="H2" s="261"/>
      <c r="I2" s="261"/>
    </row>
    <row r="3" spans="1:9" ht="15.75" x14ac:dyDescent="0.25">
      <c r="A3" s="171"/>
      <c r="B3" s="262" t="s">
        <v>179</v>
      </c>
      <c r="C3" s="262"/>
      <c r="D3" s="262"/>
      <c r="E3" s="262"/>
      <c r="F3" s="262"/>
      <c r="G3" s="262"/>
      <c r="H3" s="262"/>
      <c r="I3" s="262"/>
    </row>
    <row r="4" spans="1:9" ht="15.75" x14ac:dyDescent="0.25">
      <c r="A4" s="171"/>
      <c r="B4" s="172"/>
      <c r="C4" s="172"/>
      <c r="D4" s="172"/>
      <c r="E4" s="172"/>
      <c r="F4" s="172"/>
      <c r="G4" s="172"/>
      <c r="H4" s="172"/>
      <c r="I4" s="172"/>
    </row>
    <row r="5" spans="1:9" ht="25.5" x14ac:dyDescent="0.25">
      <c r="B5" s="249" t="s">
        <v>6</v>
      </c>
      <c r="C5" s="250"/>
      <c r="D5" s="250"/>
      <c r="E5" s="251"/>
      <c r="F5" s="146" t="s">
        <v>226</v>
      </c>
      <c r="G5" s="146" t="s">
        <v>227</v>
      </c>
      <c r="H5" s="146" t="s">
        <v>238</v>
      </c>
      <c r="I5" s="29" t="s">
        <v>22</v>
      </c>
    </row>
    <row r="6" spans="1:9" x14ac:dyDescent="0.25">
      <c r="A6" s="23"/>
      <c r="B6" s="252">
        <v>1</v>
      </c>
      <c r="C6" s="253"/>
      <c r="D6" s="253"/>
      <c r="E6" s="254"/>
      <c r="F6" s="30">
        <v>2</v>
      </c>
      <c r="G6" s="30">
        <v>3</v>
      </c>
      <c r="H6" s="30">
        <v>4</v>
      </c>
      <c r="I6" s="30" t="s">
        <v>180</v>
      </c>
    </row>
    <row r="7" spans="1:9" ht="38.25" x14ac:dyDescent="0.25">
      <c r="B7" s="263" t="s">
        <v>181</v>
      </c>
      <c r="C7" s="263"/>
      <c r="D7" s="263"/>
      <c r="E7" s="173" t="s">
        <v>182</v>
      </c>
      <c r="F7" s="216">
        <v>5541423.8399999999</v>
      </c>
      <c r="G7" s="216">
        <v>5541423.8399999999</v>
      </c>
      <c r="H7" s="216">
        <v>3381054.69</v>
      </c>
      <c r="I7" s="32">
        <f>H7/F7*100</f>
        <v>61.014186743744901</v>
      </c>
    </row>
    <row r="8" spans="1:9" x14ac:dyDescent="0.25">
      <c r="B8" s="263" t="s">
        <v>183</v>
      </c>
      <c r="C8" s="263"/>
      <c r="D8" s="263"/>
      <c r="E8" s="173" t="s">
        <v>184</v>
      </c>
      <c r="F8" s="32">
        <v>5541423.8399999999</v>
      </c>
      <c r="G8" s="32">
        <v>5541423.8399999999</v>
      </c>
      <c r="H8" s="32">
        <v>3381054.69</v>
      </c>
      <c r="I8" s="32">
        <f>H8/F8*100</f>
        <v>61.014186743744901</v>
      </c>
    </row>
    <row r="9" spans="1:9" x14ac:dyDescent="0.25">
      <c r="B9" s="263"/>
      <c r="C9" s="263"/>
      <c r="D9" s="263"/>
      <c r="E9" s="173"/>
      <c r="F9" s="166"/>
      <c r="G9" s="166"/>
      <c r="H9" s="166"/>
      <c r="I9" s="166"/>
    </row>
    <row r="10" spans="1:9" x14ac:dyDescent="0.25">
      <c r="B10" s="258"/>
      <c r="C10" s="259"/>
      <c r="D10" s="260"/>
      <c r="E10" s="166"/>
      <c r="F10" s="166"/>
      <c r="G10" s="166"/>
      <c r="H10" s="166"/>
      <c r="I10" s="166"/>
    </row>
    <row r="11" spans="1:9" x14ac:dyDescent="0.25">
      <c r="B11" s="258"/>
      <c r="C11" s="259"/>
      <c r="D11" s="260"/>
      <c r="E11" s="166"/>
      <c r="F11" s="166"/>
      <c r="G11" s="166"/>
      <c r="H11" s="166"/>
      <c r="I11" s="166"/>
    </row>
    <row r="12" spans="1:9" x14ac:dyDescent="0.25">
      <c r="B12" s="258"/>
      <c r="C12" s="259"/>
      <c r="D12" s="260"/>
      <c r="E12" s="166"/>
      <c r="F12" s="166"/>
      <c r="G12" s="166"/>
      <c r="H12" s="166"/>
      <c r="I12" s="166"/>
    </row>
    <row r="13" spans="1:9" x14ac:dyDescent="0.25">
      <c r="B13" s="258"/>
      <c r="C13" s="259"/>
      <c r="D13" s="260"/>
      <c r="E13" s="166"/>
      <c r="F13" s="166"/>
      <c r="G13" s="166"/>
      <c r="H13" s="166"/>
      <c r="I13" s="166"/>
    </row>
    <row r="14" spans="1:9" x14ac:dyDescent="0.25">
      <c r="B14" s="258"/>
      <c r="C14" s="259"/>
      <c r="D14" s="260"/>
      <c r="E14" s="166"/>
      <c r="F14" s="166"/>
      <c r="G14" s="166"/>
      <c r="H14" s="166"/>
      <c r="I14" s="166"/>
    </row>
    <row r="17" spans="8:8" x14ac:dyDescent="0.25">
      <c r="H17" s="209"/>
    </row>
  </sheetData>
  <mergeCells count="12">
    <mergeCell ref="B14:D14"/>
    <mergeCell ref="B2:I2"/>
    <mergeCell ref="B3:I3"/>
    <mergeCell ref="B5:E5"/>
    <mergeCell ref="B6:E6"/>
    <mergeCell ref="B7:D7"/>
    <mergeCell ref="B8:D8"/>
    <mergeCell ref="B9:D9"/>
    <mergeCell ref="B10:D10"/>
    <mergeCell ref="B11:D11"/>
    <mergeCell ref="B12:D12"/>
    <mergeCell ref="B13:D13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FF123-8E6F-4B74-A2B3-D2663BA5124F}">
  <sheetPr>
    <pageSetUpPr fitToPage="1"/>
  </sheetPr>
  <dimension ref="B1:I26"/>
  <sheetViews>
    <sheetView tabSelected="1" workbookViewId="0">
      <selection activeCell="H23" sqref="H23"/>
    </sheetView>
  </sheetViews>
  <sheetFormatPr defaultRowHeight="15" x14ac:dyDescent="0.25"/>
  <cols>
    <col min="1" max="1" width="11.5703125" customWidth="1"/>
    <col min="2" max="2" width="13.28515625" customWidth="1"/>
    <col min="3" max="3" width="6" customWidth="1"/>
    <col min="4" max="4" width="4" customWidth="1"/>
    <col min="5" max="5" width="36.85546875" customWidth="1"/>
    <col min="6" max="6" width="19.85546875" customWidth="1"/>
    <col min="7" max="7" width="19.28515625" customWidth="1"/>
    <col min="8" max="8" width="21.42578125" customWidth="1"/>
    <col min="9" max="9" width="15.14062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5.75" x14ac:dyDescent="0.25">
      <c r="B2" s="268" t="s">
        <v>185</v>
      </c>
      <c r="C2" s="268"/>
      <c r="D2" s="268"/>
      <c r="E2" s="268"/>
      <c r="F2" s="268"/>
      <c r="G2" s="268"/>
      <c r="H2" s="268"/>
      <c r="I2" s="268"/>
    </row>
    <row r="3" spans="2:9" ht="18" x14ac:dyDescent="0.25">
      <c r="B3" s="174"/>
      <c r="C3" s="174"/>
      <c r="D3" s="174"/>
      <c r="E3" s="174"/>
      <c r="F3" s="174"/>
      <c r="G3" s="174"/>
      <c r="H3" s="174"/>
      <c r="I3" s="175"/>
    </row>
    <row r="4" spans="2:9" ht="56.25" customHeight="1" x14ac:dyDescent="0.25">
      <c r="B4" s="249" t="s">
        <v>6</v>
      </c>
      <c r="C4" s="250"/>
      <c r="D4" s="250"/>
      <c r="E4" s="251"/>
      <c r="F4" s="146" t="s">
        <v>226</v>
      </c>
      <c r="G4" s="146" t="s">
        <v>227</v>
      </c>
      <c r="H4" s="29" t="s">
        <v>239</v>
      </c>
      <c r="I4" s="29" t="s">
        <v>22</v>
      </c>
    </row>
    <row r="5" spans="2:9" s="23" customFormat="1" ht="11.25" x14ac:dyDescent="0.2">
      <c r="B5" s="252">
        <v>1</v>
      </c>
      <c r="C5" s="253"/>
      <c r="D5" s="253"/>
      <c r="E5" s="254"/>
      <c r="F5" s="30">
        <v>2</v>
      </c>
      <c r="G5" s="30">
        <v>3</v>
      </c>
      <c r="H5" s="30">
        <v>4</v>
      </c>
      <c r="I5" s="30" t="s">
        <v>186</v>
      </c>
    </row>
    <row r="6" spans="2:9" x14ac:dyDescent="0.25">
      <c r="B6" s="269">
        <v>4001</v>
      </c>
      <c r="C6" s="270"/>
      <c r="D6" s="271"/>
      <c r="E6" s="176" t="s">
        <v>187</v>
      </c>
      <c r="F6" s="177">
        <f>SUM(F7:F18)</f>
        <v>1952472.0699999998</v>
      </c>
      <c r="G6" s="177">
        <f>SUM(G7:G18)</f>
        <v>1952472.0699999998</v>
      </c>
      <c r="H6" s="177">
        <f>SUM(H7:H18)</f>
        <v>1415573.8900000001</v>
      </c>
      <c r="I6" s="178">
        <f>H6/F6*100</f>
        <v>72.501620471323832</v>
      </c>
    </row>
    <row r="7" spans="2:9" x14ac:dyDescent="0.25">
      <c r="B7" s="264" t="s">
        <v>188</v>
      </c>
      <c r="C7" s="265"/>
      <c r="D7" s="266"/>
      <c r="E7" s="181" t="s">
        <v>189</v>
      </c>
      <c r="F7" s="182"/>
      <c r="G7" s="182"/>
      <c r="H7" s="183"/>
      <c r="I7" s="178"/>
    </row>
    <row r="8" spans="2:9" ht="30" customHeight="1" x14ac:dyDescent="0.25">
      <c r="B8" s="264" t="s">
        <v>190</v>
      </c>
      <c r="C8" s="265"/>
      <c r="D8" s="266"/>
      <c r="E8" s="184" t="s">
        <v>191</v>
      </c>
      <c r="F8" s="218">
        <v>729.96</v>
      </c>
      <c r="G8" s="218">
        <v>729.96</v>
      </c>
      <c r="H8" s="183">
        <v>398.16</v>
      </c>
      <c r="I8" s="178">
        <f t="shared" ref="I8:I17" si="0">H8/F8*100</f>
        <v>54.54545454545454</v>
      </c>
    </row>
    <row r="9" spans="2:9" ht="29.25" customHeight="1" x14ac:dyDescent="0.25">
      <c r="B9" s="267" t="s">
        <v>192</v>
      </c>
      <c r="C9" s="267"/>
      <c r="D9" s="267"/>
      <c r="E9" s="184" t="s">
        <v>193</v>
      </c>
      <c r="F9" s="218">
        <v>23585.06</v>
      </c>
      <c r="G9" s="218">
        <v>23585.06</v>
      </c>
      <c r="H9" s="183">
        <f>58676.94*46.05%</f>
        <v>27020.730869999999</v>
      </c>
      <c r="I9" s="178">
        <f>H9/F9*100</f>
        <v>114.56714916137587</v>
      </c>
    </row>
    <row r="10" spans="2:9" ht="29.25" customHeight="1" x14ac:dyDescent="0.25">
      <c r="B10" s="267" t="s">
        <v>240</v>
      </c>
      <c r="C10" s="267"/>
      <c r="D10" s="267"/>
      <c r="E10" s="217" t="s">
        <v>241</v>
      </c>
      <c r="F10" s="218">
        <v>1197</v>
      </c>
      <c r="G10" s="218">
        <v>1197</v>
      </c>
      <c r="H10" s="183">
        <v>267</v>
      </c>
      <c r="I10" s="178"/>
    </row>
    <row r="11" spans="2:9" ht="29.25" customHeight="1" x14ac:dyDescent="0.25">
      <c r="B11" s="179" t="s">
        <v>207</v>
      </c>
      <c r="C11" s="180"/>
      <c r="D11" s="181"/>
      <c r="E11" s="187" t="s">
        <v>208</v>
      </c>
      <c r="F11" s="218"/>
      <c r="G11" s="218"/>
      <c r="H11" s="183"/>
      <c r="I11" s="178"/>
    </row>
    <row r="12" spans="2:9" ht="25.5" x14ac:dyDescent="0.25">
      <c r="B12" s="264" t="s">
        <v>210</v>
      </c>
      <c r="C12" s="265"/>
      <c r="D12" s="266"/>
      <c r="E12" s="187" t="s">
        <v>209</v>
      </c>
      <c r="F12" s="218">
        <v>1695056.14</v>
      </c>
      <c r="G12" s="218">
        <v>1695056.14</v>
      </c>
      <c r="H12" s="183">
        <f>138686.56+1165121.49</f>
        <v>1303808.05</v>
      </c>
      <c r="I12" s="178">
        <f t="shared" si="0"/>
        <v>76.918281302470618</v>
      </c>
    </row>
    <row r="13" spans="2:9" x14ac:dyDescent="0.25">
      <c r="B13" s="264" t="s">
        <v>194</v>
      </c>
      <c r="C13" s="265"/>
      <c r="D13" s="266"/>
      <c r="E13" s="181" t="s">
        <v>195</v>
      </c>
      <c r="F13" s="218"/>
      <c r="G13" s="218"/>
      <c r="H13" s="183"/>
      <c r="I13" s="178"/>
    </row>
    <row r="14" spans="2:9" ht="25.5" x14ac:dyDescent="0.25">
      <c r="B14" s="264" t="s">
        <v>196</v>
      </c>
      <c r="C14" s="265"/>
      <c r="D14" s="266"/>
      <c r="E14" s="181" t="s">
        <v>197</v>
      </c>
      <c r="F14" s="218">
        <v>54</v>
      </c>
      <c r="G14" s="218">
        <v>54</v>
      </c>
      <c r="H14" s="183">
        <v>58.5</v>
      </c>
      <c r="I14" s="178">
        <f t="shared" si="0"/>
        <v>108.33333333333333</v>
      </c>
    </row>
    <row r="15" spans="2:9" x14ac:dyDescent="0.25">
      <c r="B15" s="179" t="s">
        <v>198</v>
      </c>
      <c r="C15" s="180"/>
      <c r="D15" s="181"/>
      <c r="E15" s="181" t="s">
        <v>199</v>
      </c>
      <c r="F15" s="218"/>
      <c r="G15" s="218"/>
      <c r="H15" s="183"/>
      <c r="I15" s="178"/>
    </row>
    <row r="16" spans="2:9" x14ac:dyDescent="0.25">
      <c r="B16" s="179" t="s">
        <v>216</v>
      </c>
      <c r="C16" s="180"/>
      <c r="D16" s="181"/>
      <c r="E16" s="181" t="s">
        <v>217</v>
      </c>
      <c r="F16" s="218">
        <v>99725.29</v>
      </c>
      <c r="G16" s="218">
        <v>99725.29</v>
      </c>
      <c r="H16" s="183">
        <f>58676.94*53.95%</f>
        <v>31656.209129999999</v>
      </c>
      <c r="I16" s="178">
        <f t="shared" si="0"/>
        <v>31.743411455609703</v>
      </c>
    </row>
    <row r="17" spans="2:9" x14ac:dyDescent="0.25">
      <c r="B17" s="179" t="s">
        <v>200</v>
      </c>
      <c r="C17" s="180"/>
      <c r="D17" s="181"/>
      <c r="E17" s="181" t="s">
        <v>201</v>
      </c>
      <c r="F17" s="218">
        <v>132124.62</v>
      </c>
      <c r="G17" s="218">
        <v>132124.62</v>
      </c>
      <c r="H17" s="183">
        <v>52365.24</v>
      </c>
      <c r="I17" s="178">
        <f t="shared" si="0"/>
        <v>39.633219001878686</v>
      </c>
    </row>
    <row r="18" spans="2:9" x14ac:dyDescent="0.25">
      <c r="B18" s="179" t="s">
        <v>218</v>
      </c>
      <c r="C18" s="180"/>
      <c r="D18" s="181"/>
      <c r="E18" s="181" t="s">
        <v>219</v>
      </c>
      <c r="F18" s="182"/>
      <c r="G18" s="182"/>
      <c r="H18" s="183">
        <v>0</v>
      </c>
      <c r="I18" s="178"/>
    </row>
    <row r="19" spans="2:9" ht="33" customHeight="1" x14ac:dyDescent="0.25">
      <c r="B19" s="263">
        <v>4040</v>
      </c>
      <c r="C19" s="263"/>
      <c r="D19" s="263"/>
      <c r="E19" s="185" t="s">
        <v>202</v>
      </c>
      <c r="F19" s="177">
        <f>SUM(F20:F21)</f>
        <v>3588951.89</v>
      </c>
      <c r="G19" s="177">
        <f>SUM(G20:G21)</f>
        <v>3588951.89</v>
      </c>
      <c r="H19" s="177">
        <f>SUM(H20:H21)</f>
        <v>1965480.7999999998</v>
      </c>
      <c r="I19" s="178">
        <f t="shared" ref="I19:I21" si="1">H19/F19*100</f>
        <v>54.764757518106485</v>
      </c>
    </row>
    <row r="20" spans="2:9" ht="30" customHeight="1" x14ac:dyDescent="0.25">
      <c r="B20" s="267" t="s">
        <v>203</v>
      </c>
      <c r="C20" s="267"/>
      <c r="D20" s="267"/>
      <c r="E20" s="184" t="s">
        <v>204</v>
      </c>
      <c r="F20" s="182">
        <v>3587851.89</v>
      </c>
      <c r="G20" s="182">
        <v>3587851.89</v>
      </c>
      <c r="H20" s="183">
        <f>36796.53+1788844.2-58.5+135644.22+3499.7</f>
        <v>1964726.15</v>
      </c>
      <c r="I20" s="178">
        <f t="shared" si="1"/>
        <v>54.760514375636618</v>
      </c>
    </row>
    <row r="21" spans="2:9" ht="25.5" x14ac:dyDescent="0.25">
      <c r="B21" s="264" t="s">
        <v>205</v>
      </c>
      <c r="C21" s="265"/>
      <c r="D21" s="266"/>
      <c r="E21" s="186" t="s">
        <v>206</v>
      </c>
      <c r="F21" s="182">
        <v>1100</v>
      </c>
      <c r="G21" s="182">
        <v>1100</v>
      </c>
      <c r="H21" s="183">
        <f>754.65</f>
        <v>754.65</v>
      </c>
      <c r="I21" s="178">
        <f t="shared" si="1"/>
        <v>68.604545454545445</v>
      </c>
    </row>
    <row r="23" spans="2:9" x14ac:dyDescent="0.25">
      <c r="F23" s="100"/>
      <c r="H23" s="100"/>
    </row>
    <row r="24" spans="2:9" x14ac:dyDescent="0.25">
      <c r="H24" s="210"/>
    </row>
    <row r="25" spans="2:9" x14ac:dyDescent="0.25">
      <c r="F25" s="100"/>
      <c r="H25" s="100"/>
    </row>
    <row r="26" spans="2:9" x14ac:dyDescent="0.25">
      <c r="H26" s="100"/>
    </row>
  </sheetData>
  <mergeCells count="14">
    <mergeCell ref="B8:D8"/>
    <mergeCell ref="B2:I2"/>
    <mergeCell ref="B4:E4"/>
    <mergeCell ref="B5:E5"/>
    <mergeCell ref="B6:D6"/>
    <mergeCell ref="B7:D7"/>
    <mergeCell ref="B14:D14"/>
    <mergeCell ref="B19:D19"/>
    <mergeCell ref="B20:D20"/>
    <mergeCell ref="B21:D21"/>
    <mergeCell ref="B9:D9"/>
    <mergeCell ref="B12:D12"/>
    <mergeCell ref="B13:D13"/>
    <mergeCell ref="B10:D10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D27BB-B729-4595-8430-833004B4CE2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funkcijskoj k </vt:lpstr>
      <vt:lpstr>Prihodi i rashodi prema izvoru</vt:lpstr>
      <vt:lpstr>Izvještaj po organizacijskoj</vt:lpstr>
      <vt:lpstr>Izvještaj po programskoj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Meri Kovačević</cp:lastModifiedBy>
  <cp:lastPrinted>2025-07-09T15:02:38Z</cp:lastPrinted>
  <dcterms:created xsi:type="dcterms:W3CDTF">2022-08-12T12:51:27Z</dcterms:created>
  <dcterms:modified xsi:type="dcterms:W3CDTF">2025-07-09T15:02:40Z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proračuna JLP(R)S - Copy.xlsx</vt:lpwstr>
  </property>
</Properties>
</file>